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geshinobuo\Desktop\"/>
    </mc:Choice>
  </mc:AlternateContent>
  <xr:revisionPtr revIDLastSave="0" documentId="8_{F6DFA985-B1C9-482B-A1A7-A45DD3742B37}" xr6:coauthVersionLast="46" xr6:coauthVersionMax="46" xr10:uidLastSave="{00000000-0000-0000-0000-000000000000}"/>
  <bookViews>
    <workbookView xWindow="2730" yWindow="600" windowWidth="17565" windowHeight="15600" xr2:uid="{8698AE38-26EE-4537-A4B1-ACB66D44DB45}"/>
  </bookViews>
  <sheets>
    <sheet name="Eruptions" sheetId="8" r:id="rId1"/>
    <sheet name="Continuous" sheetId="1" r:id="rId2"/>
    <sheet name="Descrete" sheetId="5" r:id="rId3"/>
    <sheet name="Candidates" sheetId="2" r:id="rId4"/>
    <sheet name="VUC"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10" i="5" l="1"/>
  <c r="G110" i="5"/>
  <c r="M110" i="5" s="1"/>
  <c r="N110" i="5" s="1"/>
  <c r="K107" i="5"/>
  <c r="G107" i="5"/>
  <c r="M107" i="5" s="1"/>
  <c r="N107" i="5" s="1"/>
  <c r="K100" i="5"/>
  <c r="G100" i="5"/>
  <c r="M100" i="5" s="1"/>
  <c r="N100" i="5" s="1"/>
  <c r="K98" i="5"/>
  <c r="G98" i="5"/>
  <c r="M98" i="5" s="1"/>
  <c r="N98" i="5" s="1"/>
  <c r="K97" i="5"/>
  <c r="H97" i="5"/>
  <c r="G97" i="5"/>
  <c r="M97" i="5" s="1"/>
  <c r="N97" i="5" s="1"/>
  <c r="H95" i="5"/>
  <c r="K95" i="5"/>
  <c r="G95" i="5"/>
  <c r="M95" i="5"/>
  <c r="N95" i="5"/>
  <c r="H94" i="5"/>
  <c r="K94" i="5"/>
  <c r="G94" i="5"/>
  <c r="M94" i="5" s="1"/>
  <c r="N94" i="5" s="1"/>
  <c r="H93" i="5"/>
  <c r="K93" i="5" s="1"/>
  <c r="G93" i="5"/>
  <c r="M93" i="5" s="1"/>
  <c r="N93" i="5" s="1"/>
  <c r="K88" i="5"/>
  <c r="H88" i="5"/>
  <c r="G88" i="5"/>
  <c r="M88" i="5" s="1"/>
  <c r="N88" i="5" s="1"/>
  <c r="K86" i="5"/>
  <c r="H86" i="5"/>
  <c r="G86" i="5"/>
  <c r="M86" i="5"/>
  <c r="N86" i="5"/>
  <c r="K84" i="5"/>
  <c r="H84" i="5"/>
  <c r="G84" i="5"/>
  <c r="M84" i="5" s="1"/>
  <c r="N84" i="5" s="1"/>
  <c r="N80" i="5"/>
  <c r="M80" i="5"/>
  <c r="K80" i="5"/>
  <c r="G80" i="5"/>
  <c r="K74" i="5"/>
  <c r="G74" i="5"/>
  <c r="M74" i="5"/>
  <c r="N74" i="5"/>
  <c r="K71" i="5"/>
  <c r="H71" i="5"/>
  <c r="G71" i="5"/>
  <c r="M71" i="5" s="1"/>
  <c r="N71" i="5" s="1"/>
  <c r="K70" i="5"/>
  <c r="G70" i="5"/>
  <c r="M70" i="5" s="1"/>
  <c r="N70" i="5" s="1"/>
  <c r="K68" i="5"/>
  <c r="G68" i="5"/>
  <c r="M68" i="5" s="1"/>
  <c r="N68" i="5" s="1"/>
  <c r="K69" i="5"/>
  <c r="G69" i="5"/>
  <c r="M69" i="5" s="1"/>
  <c r="N69" i="5" s="1"/>
  <c r="K67" i="5"/>
  <c r="G67" i="5"/>
  <c r="M67" i="5" s="1"/>
  <c r="N67" i="5" s="1"/>
  <c r="K65" i="5"/>
  <c r="G65" i="5"/>
  <c r="M65" i="5" s="1"/>
  <c r="N65" i="5" s="1"/>
  <c r="H62" i="5"/>
  <c r="K62" i="5" s="1"/>
  <c r="K63" i="5"/>
  <c r="G63" i="5"/>
  <c r="M63" i="5" s="1"/>
  <c r="N63" i="5" s="1"/>
  <c r="K60" i="5"/>
  <c r="G60" i="5"/>
  <c r="M60" i="5" s="1"/>
  <c r="N60" i="5" s="1"/>
  <c r="K59" i="5"/>
  <c r="G59" i="5"/>
  <c r="M59" i="5" s="1"/>
  <c r="N59" i="5" s="1"/>
  <c r="H113" i="5"/>
  <c r="K113" i="5"/>
  <c r="G113" i="5"/>
  <c r="M113" i="5" s="1"/>
  <c r="N113" i="5" s="1"/>
  <c r="K103" i="5"/>
  <c r="G103" i="5"/>
  <c r="M103" i="5" s="1"/>
  <c r="N103" i="5" s="1"/>
  <c r="K101" i="5"/>
  <c r="G101" i="5"/>
  <c r="M101" i="5" s="1"/>
  <c r="N101" i="5" s="1"/>
  <c r="K114" i="5"/>
  <c r="G114" i="5"/>
  <c r="M114" i="5" s="1"/>
  <c r="N114" i="5" s="1"/>
  <c r="K79" i="5"/>
  <c r="G79" i="5"/>
  <c r="M79" i="5" s="1"/>
  <c r="N79" i="5" s="1"/>
  <c r="K78" i="5"/>
  <c r="G78" i="5"/>
  <c r="M78" i="5" s="1"/>
  <c r="N78" i="5" s="1"/>
  <c r="M57" i="5"/>
  <c r="N57" i="5" s="1"/>
  <c r="H57" i="5"/>
  <c r="K57" i="5" s="1"/>
  <c r="G57" i="5"/>
  <c r="K58" i="5"/>
  <c r="G58" i="5"/>
  <c r="M58" i="5" s="1"/>
  <c r="N58" i="5" s="1"/>
  <c r="K56" i="5"/>
  <c r="G56" i="5"/>
  <c r="M56" i="5" s="1"/>
  <c r="N56" i="5" s="1"/>
  <c r="K112" i="5"/>
  <c r="G112" i="5"/>
  <c r="M112" i="5" s="1"/>
  <c r="N112" i="5" s="1"/>
  <c r="K109" i="5"/>
  <c r="G109" i="5"/>
  <c r="M109" i="5" s="1"/>
  <c r="N109" i="5" s="1"/>
  <c r="K106" i="5"/>
  <c r="G106" i="5"/>
  <c r="M106" i="5" s="1"/>
  <c r="N106" i="5" s="1"/>
  <c r="K104" i="5"/>
  <c r="G104" i="5"/>
  <c r="M104" i="5" s="1"/>
  <c r="N104" i="5" s="1"/>
  <c r="K111" i="5"/>
  <c r="G111" i="5"/>
  <c r="M111" i="5" s="1"/>
  <c r="N111" i="5" s="1"/>
  <c r="K105" i="5"/>
  <c r="G105" i="5"/>
  <c r="M105" i="5" s="1"/>
  <c r="N105" i="5" s="1"/>
  <c r="K96" i="5"/>
  <c r="G96" i="5"/>
  <c r="M96" i="5" s="1"/>
  <c r="N96" i="5" s="1"/>
  <c r="K77" i="5"/>
  <c r="K76" i="5"/>
  <c r="G77" i="5"/>
  <c r="M77" i="5" s="1"/>
  <c r="N77" i="5" s="1"/>
  <c r="G76" i="5"/>
  <c r="M76" i="5" s="1"/>
  <c r="N76" i="5" s="1"/>
  <c r="K75" i="5"/>
  <c r="G75" i="5"/>
  <c r="M75" i="5" s="1"/>
  <c r="N75" i="5" s="1"/>
  <c r="K87" i="5"/>
  <c r="G87" i="5"/>
  <c r="M87" i="5" s="1"/>
  <c r="N87" i="5" s="1"/>
  <c r="K91" i="5"/>
  <c r="G91" i="5"/>
  <c r="M91" i="5" s="1"/>
  <c r="N91" i="5" s="1"/>
  <c r="K83" i="5"/>
  <c r="G83" i="5"/>
  <c r="M83" i="5" s="1"/>
  <c r="N83" i="5" s="1"/>
  <c r="K66" i="5"/>
  <c r="G66" i="5"/>
  <c r="M66" i="5" s="1"/>
  <c r="N66" i="5" s="1"/>
  <c r="K61" i="5"/>
  <c r="G61" i="5"/>
  <c r="M61" i="5" s="1"/>
  <c r="N61" i="5" s="1"/>
  <c r="G62" i="5"/>
  <c r="M62" i="5" s="1"/>
  <c r="N62" i="5" s="1"/>
  <c r="H64" i="5"/>
  <c r="K99" i="5" l="1"/>
  <c r="G99" i="5"/>
  <c r="M99" i="5" s="1"/>
  <c r="N99" i="5" s="1"/>
  <c r="K90" i="5"/>
  <c r="G90" i="5"/>
  <c r="M90" i="5" s="1"/>
  <c r="N90" i="5" s="1"/>
  <c r="G883" i="5"/>
  <c r="G882" i="5"/>
  <c r="G881" i="5"/>
  <c r="G880" i="5"/>
  <c r="G879" i="5"/>
  <c r="G878" i="5"/>
  <c r="G877" i="5"/>
  <c r="G876" i="5"/>
  <c r="G875" i="5"/>
  <c r="G874" i="5"/>
  <c r="G873" i="5"/>
  <c r="G872" i="5"/>
  <c r="G871" i="5"/>
  <c r="G870" i="5"/>
  <c r="G869" i="5"/>
  <c r="G868" i="5"/>
  <c r="G867" i="5"/>
  <c r="G866" i="5"/>
  <c r="G865" i="5"/>
  <c r="G864" i="5"/>
  <c r="G863" i="5"/>
  <c r="G862" i="5"/>
  <c r="G861" i="5"/>
  <c r="G860" i="5"/>
  <c r="G859" i="5"/>
  <c r="G858" i="5"/>
  <c r="G857" i="5"/>
  <c r="G856" i="5"/>
  <c r="G855" i="5"/>
  <c r="G854" i="5"/>
  <c r="G853" i="5"/>
  <c r="G852" i="5"/>
  <c r="G851" i="5"/>
  <c r="G850" i="5"/>
  <c r="G849" i="5"/>
  <c r="G848" i="5"/>
  <c r="G847" i="5"/>
  <c r="G846" i="5"/>
  <c r="G845" i="5"/>
  <c r="G844" i="5"/>
  <c r="G843" i="5"/>
  <c r="G842" i="5"/>
  <c r="G841" i="5"/>
  <c r="G840" i="5"/>
  <c r="G839" i="5"/>
  <c r="G616" i="5"/>
  <c r="G615" i="5"/>
  <c r="G614" i="5"/>
  <c r="K197" i="5" l="1"/>
  <c r="K196" i="5"/>
  <c r="K195" i="5"/>
  <c r="K192" i="5"/>
  <c r="G197" i="5"/>
  <c r="G196" i="5"/>
  <c r="I194" i="5"/>
  <c r="K194" i="5" s="1"/>
  <c r="G194" i="5"/>
  <c r="I193" i="5"/>
  <c r="K193" i="5" s="1"/>
  <c r="G193" i="5"/>
  <c r="G195" i="5"/>
  <c r="G192" i="5"/>
  <c r="G191" i="5"/>
  <c r="H191" i="5"/>
  <c r="K191" i="5" s="1"/>
  <c r="G190" i="5"/>
  <c r="G189" i="5"/>
  <c r="G188" i="5"/>
  <c r="G187" i="5"/>
  <c r="G186" i="5"/>
  <c r="G185" i="5"/>
  <c r="G184" i="5"/>
  <c r="G183" i="5"/>
  <c r="K190" i="5"/>
  <c r="H188" i="5"/>
  <c r="K188" i="5" s="1"/>
  <c r="K189" i="5"/>
  <c r="K187" i="5"/>
  <c r="K184" i="5"/>
  <c r="K186" i="5"/>
  <c r="K185" i="5"/>
  <c r="K183" i="5"/>
  <c r="K182" i="5"/>
  <c r="G182" i="5"/>
  <c r="K180" i="5"/>
  <c r="G180" i="5"/>
  <c r="K179" i="5"/>
  <c r="K177" i="5"/>
  <c r="G179" i="5"/>
  <c r="G177" i="5"/>
  <c r="H175" i="5"/>
  <c r="K175" i="5" s="1"/>
  <c r="K174" i="5"/>
  <c r="K172" i="5"/>
  <c r="G175" i="5"/>
  <c r="G174" i="5"/>
  <c r="G173" i="5"/>
  <c r="G172" i="5"/>
  <c r="H173" i="5"/>
  <c r="K173" i="5" s="1"/>
  <c r="H171" i="5"/>
  <c r="K171" i="5" s="1"/>
  <c r="G171" i="5"/>
  <c r="K170" i="5"/>
  <c r="K169" i="5"/>
  <c r="G170" i="5"/>
  <c r="G169" i="5"/>
  <c r="G168" i="5"/>
  <c r="H168" i="5"/>
  <c r="K168" i="5" s="1"/>
  <c r="H883" i="5" l="1"/>
  <c r="K883" i="5" s="1"/>
  <c r="H882" i="5"/>
  <c r="K882" i="5" s="1"/>
  <c r="H881" i="5"/>
  <c r="K881" i="5" s="1"/>
  <c r="K880" i="5"/>
  <c r="K879" i="5"/>
  <c r="K878" i="5"/>
  <c r="K877" i="5"/>
  <c r="K876" i="5"/>
  <c r="K875" i="5"/>
  <c r="K874" i="5"/>
  <c r="H873" i="5"/>
  <c r="K873" i="5" s="1"/>
  <c r="K872" i="5"/>
  <c r="K870" i="5"/>
  <c r="K871" i="5"/>
  <c r="K867" i="5"/>
  <c r="K869" i="5"/>
  <c r="K866" i="5"/>
  <c r="K865" i="5"/>
  <c r="K864" i="5" l="1"/>
  <c r="K863" i="5"/>
  <c r="K862" i="5"/>
  <c r="K861" i="5"/>
  <c r="K860" i="5"/>
  <c r="K798" i="5" l="1"/>
  <c r="G798" i="5"/>
  <c r="M798" i="5" s="1"/>
  <c r="N798" i="5" s="1"/>
  <c r="K796" i="5"/>
  <c r="G796" i="5"/>
  <c r="M796" i="5" s="1"/>
  <c r="N796" i="5" s="1"/>
  <c r="K795" i="5"/>
  <c r="G795" i="5"/>
  <c r="M795" i="5" s="1"/>
  <c r="N795" i="5" s="1"/>
  <c r="K794" i="5"/>
  <c r="G794" i="5"/>
  <c r="M794" i="5" s="1"/>
  <c r="N794" i="5" s="1"/>
  <c r="K793" i="5"/>
  <c r="G793" i="5"/>
  <c r="M793" i="5" s="1"/>
  <c r="N793" i="5" s="1"/>
  <c r="K790" i="5"/>
  <c r="K789" i="5"/>
  <c r="K788" i="5"/>
  <c r="K782" i="5"/>
  <c r="K781" i="5"/>
  <c r="K780" i="5"/>
  <c r="K779" i="5"/>
  <c r="K778" i="5"/>
  <c r="G790" i="5"/>
  <c r="M790" i="5" s="1"/>
  <c r="N790" i="5" s="1"/>
  <c r="G789" i="5"/>
  <c r="M789" i="5" s="1"/>
  <c r="N789" i="5" s="1"/>
  <c r="G788" i="5"/>
  <c r="M788" i="5" s="1"/>
  <c r="N788" i="5" s="1"/>
  <c r="G782" i="5"/>
  <c r="M782" i="5" s="1"/>
  <c r="N782" i="5" s="1"/>
  <c r="G781" i="5"/>
  <c r="M781" i="5" s="1"/>
  <c r="N781" i="5" s="1"/>
  <c r="G780" i="5"/>
  <c r="M780" i="5" s="1"/>
  <c r="N780" i="5" s="1"/>
  <c r="G779" i="5"/>
  <c r="M779" i="5" s="1"/>
  <c r="N779" i="5" s="1"/>
  <c r="G778" i="5"/>
  <c r="M778" i="5" s="1"/>
  <c r="N778" i="5" s="1"/>
  <c r="K776" i="5"/>
  <c r="G776" i="5"/>
  <c r="M776" i="5" s="1"/>
  <c r="N776" i="5" s="1"/>
  <c r="K775" i="5"/>
  <c r="G775" i="5"/>
  <c r="M775" i="5" s="1"/>
  <c r="N775" i="5" s="1"/>
  <c r="K774" i="5"/>
  <c r="G774" i="5"/>
  <c r="M774" i="5" s="1"/>
  <c r="N774" i="5" s="1"/>
  <c r="K773" i="5"/>
  <c r="G773" i="5"/>
  <c r="M773" i="5" s="1"/>
  <c r="N773" i="5" s="1"/>
  <c r="G772" i="5"/>
  <c r="M772" i="5" s="1"/>
  <c r="N772" i="5" s="1"/>
  <c r="G771" i="5"/>
  <c r="M771" i="5" s="1"/>
  <c r="N771" i="5" s="1"/>
  <c r="G770" i="5"/>
  <c r="M770" i="5" s="1"/>
  <c r="N770" i="5" s="1"/>
  <c r="K772" i="5"/>
  <c r="K771" i="5"/>
  <c r="K770" i="5"/>
  <c r="K769" i="5"/>
  <c r="G769" i="5"/>
  <c r="M769" i="5" s="1"/>
  <c r="N769" i="5" s="1"/>
  <c r="K768" i="5"/>
  <c r="K767" i="5"/>
  <c r="G768" i="5"/>
  <c r="M768" i="5" s="1"/>
  <c r="N768" i="5" s="1"/>
  <c r="G767" i="5"/>
  <c r="M767" i="5" s="1"/>
  <c r="N767" i="5" s="1"/>
  <c r="H859" i="5" l="1"/>
  <c r="K859" i="5" s="1"/>
  <c r="K856" i="5"/>
  <c r="K849" i="5"/>
  <c r="H848" i="5"/>
  <c r="K848" i="5" s="1"/>
  <c r="H847" i="5"/>
  <c r="K847" i="5" s="1"/>
  <c r="K846" i="5"/>
  <c r="K853" i="5"/>
  <c r="K854" i="5"/>
  <c r="K852" i="5"/>
  <c r="K858" i="5"/>
  <c r="K857" i="5"/>
  <c r="K855" i="5"/>
  <c r="H850" i="5"/>
  <c r="K851" i="5" l="1"/>
  <c r="K850" i="5"/>
  <c r="K844" i="5"/>
  <c r="K842" i="5"/>
  <c r="K841" i="5"/>
  <c r="K840" i="5"/>
  <c r="H845" i="5"/>
  <c r="K845" i="5" s="1"/>
  <c r="H843" i="5" l="1"/>
  <c r="K843" i="5" s="1"/>
  <c r="H839" i="5"/>
  <c r="K839" i="5" s="1"/>
  <c r="K838" i="5" l="1"/>
  <c r="K837" i="5"/>
  <c r="K835" i="5"/>
  <c r="K832" i="5"/>
  <c r="K831" i="5"/>
  <c r="K828" i="5"/>
  <c r="K827" i="5"/>
  <c r="K826" i="5"/>
  <c r="K825" i="5"/>
  <c r="K824" i="5"/>
  <c r="K823" i="5"/>
  <c r="K822" i="5"/>
  <c r="G838" i="5"/>
  <c r="M838" i="5" s="1"/>
  <c r="N838" i="5" s="1"/>
  <c r="G837" i="5"/>
  <c r="M837" i="5" s="1"/>
  <c r="N837" i="5" s="1"/>
  <c r="G836" i="5"/>
  <c r="M836" i="5" s="1"/>
  <c r="N836" i="5" s="1"/>
  <c r="G835" i="5"/>
  <c r="M835" i="5" s="1"/>
  <c r="N835" i="5" s="1"/>
  <c r="G834" i="5"/>
  <c r="M834" i="5" s="1"/>
  <c r="N834" i="5" s="1"/>
  <c r="G833" i="5"/>
  <c r="M833" i="5" s="1"/>
  <c r="N833" i="5" s="1"/>
  <c r="G832" i="5"/>
  <c r="M832" i="5" s="1"/>
  <c r="N832" i="5" s="1"/>
  <c r="G831" i="5"/>
  <c r="M831" i="5" s="1"/>
  <c r="N831" i="5" s="1"/>
  <c r="G830" i="5"/>
  <c r="M830" i="5" s="1"/>
  <c r="N830" i="5" s="1"/>
  <c r="G829" i="5"/>
  <c r="M829" i="5" s="1"/>
  <c r="N829" i="5" s="1"/>
  <c r="G828" i="5"/>
  <c r="M828" i="5" s="1"/>
  <c r="N828" i="5" s="1"/>
  <c r="G827" i="5"/>
  <c r="M827" i="5" s="1"/>
  <c r="N827" i="5" s="1"/>
  <c r="G826" i="5"/>
  <c r="M826" i="5" s="1"/>
  <c r="N826" i="5" s="1"/>
  <c r="G825" i="5"/>
  <c r="M825" i="5" s="1"/>
  <c r="N825" i="5" s="1"/>
  <c r="G824" i="5"/>
  <c r="M824" i="5" s="1"/>
  <c r="N824" i="5" s="1"/>
  <c r="G823" i="5"/>
  <c r="M823" i="5" s="1"/>
  <c r="N823" i="5" s="1"/>
  <c r="G822" i="5"/>
  <c r="M822" i="5" s="1"/>
  <c r="N822" i="5" s="1"/>
  <c r="H836" i="5"/>
  <c r="K836" i="5" s="1"/>
  <c r="H834" i="5"/>
  <c r="K834" i="5" s="1"/>
  <c r="H833" i="5"/>
  <c r="K833" i="5" s="1"/>
  <c r="H830" i="5"/>
  <c r="K830" i="5" s="1"/>
  <c r="H829" i="5"/>
  <c r="K829" i="5" s="1"/>
  <c r="M616" i="5"/>
  <c r="N616" i="5" s="1"/>
  <c r="M615" i="5"/>
  <c r="N615" i="5" s="1"/>
  <c r="M614" i="5"/>
  <c r="N614" i="5" s="1"/>
  <c r="K615" i="5"/>
  <c r="K614" i="5"/>
  <c r="H616" i="5"/>
  <c r="K616" i="5" s="1"/>
  <c r="K181" i="5"/>
  <c r="K178" i="5"/>
  <c r="K176" i="5"/>
  <c r="H167" i="5"/>
  <c r="K144" i="5"/>
  <c r="K143" i="5"/>
  <c r="K142" i="5"/>
  <c r="K141" i="5"/>
  <c r="K140" i="5"/>
  <c r="K139" i="5"/>
  <c r="K138" i="5"/>
  <c r="K137" i="5"/>
  <c r="K136" i="5"/>
  <c r="K135" i="5"/>
  <c r="K134" i="5"/>
  <c r="K133" i="5"/>
  <c r="K132" i="5"/>
  <c r="K131" i="5"/>
  <c r="K130" i="5"/>
  <c r="K129" i="5"/>
  <c r="K128" i="5"/>
  <c r="K127" i="5"/>
  <c r="K126" i="5"/>
  <c r="K125" i="5"/>
  <c r="K124" i="5"/>
  <c r="K123" i="5"/>
  <c r="K122" i="5"/>
  <c r="K121" i="5"/>
  <c r="K120" i="5"/>
  <c r="K119" i="5"/>
  <c r="K118" i="5"/>
  <c r="K117" i="5"/>
  <c r="K116" i="5"/>
  <c r="K115" i="5"/>
  <c r="G147" i="5"/>
  <c r="G146" i="5"/>
  <c r="G145" i="5"/>
  <c r="K166" i="5"/>
  <c r="K165" i="5"/>
  <c r="K164" i="5"/>
  <c r="K163" i="5"/>
  <c r="K162" i="5"/>
  <c r="K161" i="5"/>
  <c r="K160" i="5"/>
  <c r="K159" i="5"/>
  <c r="K158" i="5"/>
  <c r="K157" i="5"/>
  <c r="K156" i="5"/>
  <c r="K155" i="5"/>
  <c r="K154" i="5"/>
  <c r="K153" i="5"/>
  <c r="K152" i="5"/>
  <c r="K151" i="5"/>
  <c r="G150" i="5"/>
  <c r="M150" i="5" s="1"/>
  <c r="N150" i="5" s="1"/>
  <c r="G151" i="5"/>
  <c r="M151" i="5" s="1"/>
  <c r="N151" i="5" s="1"/>
  <c r="G153" i="5"/>
  <c r="M153" i="5" s="1"/>
  <c r="N153" i="5" s="1"/>
  <c r="G155" i="5"/>
  <c r="M155" i="5" s="1"/>
  <c r="N155" i="5" s="1"/>
  <c r="G156" i="5"/>
  <c r="M156" i="5" s="1"/>
  <c r="N156" i="5" s="1"/>
  <c r="G158" i="5"/>
  <c r="M158" i="5" s="1"/>
  <c r="N158" i="5" s="1"/>
  <c r="G160" i="5"/>
  <c r="M160" i="5" s="1"/>
  <c r="N160" i="5" s="1"/>
  <c r="G161" i="5"/>
  <c r="M161" i="5" s="1"/>
  <c r="N161" i="5" s="1"/>
  <c r="G162" i="5"/>
  <c r="M162" i="5" s="1"/>
  <c r="N162" i="5" s="1"/>
  <c r="G163" i="5"/>
  <c r="M163" i="5" s="1"/>
  <c r="N163" i="5" s="1"/>
  <c r="G165" i="5"/>
  <c r="M165" i="5" s="1"/>
  <c r="N165" i="5" s="1"/>
  <c r="H150" i="5"/>
  <c r="K150" i="5" s="1"/>
  <c r="K28" i="5"/>
  <c r="K27" i="5"/>
  <c r="K26" i="5"/>
  <c r="K25" i="5"/>
  <c r="K24" i="5"/>
  <c r="K23" i="5"/>
  <c r="K22" i="5"/>
  <c r="G28" i="5"/>
  <c r="M28" i="5" s="1"/>
  <c r="N28" i="5" s="1"/>
  <c r="G27" i="5"/>
  <c r="M27" i="5" s="1"/>
  <c r="N27" i="5" s="1"/>
  <c r="G26" i="5"/>
  <c r="M26" i="5" s="1"/>
  <c r="N26" i="5" s="1"/>
  <c r="G25" i="5"/>
  <c r="M25" i="5" s="1"/>
  <c r="N25" i="5" s="1"/>
  <c r="G24" i="5"/>
  <c r="M24" i="5" s="1"/>
  <c r="N24" i="5" s="1"/>
  <c r="G23" i="5"/>
  <c r="M23" i="5" s="1"/>
  <c r="N23" i="5" s="1"/>
  <c r="G22" i="5"/>
  <c r="M22" i="5" s="1"/>
  <c r="N22" i="5" s="1"/>
  <c r="H32" i="5"/>
  <c r="K32" i="5" s="1"/>
  <c r="G32" i="5"/>
  <c r="M32" i="5" s="1"/>
  <c r="N32" i="5" s="1"/>
  <c r="K55" i="5"/>
  <c r="G55" i="5"/>
  <c r="M55" i="5" s="1"/>
  <c r="N55" i="5" s="1"/>
  <c r="K206" i="5"/>
  <c r="K205" i="5"/>
  <c r="K204" i="5"/>
  <c r="K203" i="5"/>
  <c r="K202" i="5"/>
  <c r="K201" i="5"/>
  <c r="K200" i="5"/>
  <c r="K199" i="5"/>
  <c r="G206" i="5"/>
  <c r="M206" i="5" s="1"/>
  <c r="N206" i="5" s="1"/>
  <c r="G205" i="5"/>
  <c r="M205" i="5" s="1"/>
  <c r="N205" i="5" s="1"/>
  <c r="G204" i="5"/>
  <c r="M204" i="5" s="1"/>
  <c r="N204" i="5" s="1"/>
  <c r="G203" i="5"/>
  <c r="M203" i="5" s="1"/>
  <c r="N203" i="5" s="1"/>
  <c r="G202" i="5"/>
  <c r="M202" i="5" s="1"/>
  <c r="N202" i="5" s="1"/>
  <c r="G201" i="5"/>
  <c r="M201" i="5" s="1"/>
  <c r="N201" i="5" s="1"/>
  <c r="G200" i="5"/>
  <c r="M200" i="5" s="1"/>
  <c r="N200" i="5" s="1"/>
  <c r="G199" i="5"/>
  <c r="M199" i="5" s="1"/>
  <c r="N199" i="5" s="1"/>
  <c r="H208" i="5"/>
  <c r="K209" i="5"/>
  <c r="G209" i="5"/>
  <c r="M209" i="5" s="1"/>
  <c r="N209" i="5" s="1"/>
  <c r="K274" i="5"/>
  <c r="K273" i="5"/>
  <c r="K272" i="5"/>
  <c r="K271" i="5"/>
  <c r="K270" i="5"/>
  <c r="K269" i="5"/>
  <c r="K268" i="5"/>
  <c r="K267" i="5"/>
  <c r="K266" i="5"/>
  <c r="K265" i="5"/>
  <c r="K264" i="5"/>
  <c r="K263" i="5"/>
  <c r="K262" i="5"/>
  <c r="K261" i="5"/>
  <c r="K260" i="5"/>
  <c r="K259" i="5"/>
  <c r="K258" i="5"/>
  <c r="K257" i="5"/>
  <c r="K256" i="5"/>
  <c r="K255" i="5"/>
  <c r="K254" i="5"/>
  <c r="K253" i="5"/>
  <c r="K252" i="5"/>
  <c r="K251" i="5"/>
  <c r="K250" i="5"/>
  <c r="K249" i="5"/>
  <c r="K248" i="5"/>
  <c r="K247" i="5"/>
  <c r="K246" i="5"/>
  <c r="K245" i="5"/>
  <c r="K244" i="5"/>
  <c r="K243" i="5"/>
  <c r="K242" i="5"/>
  <c r="K241" i="5"/>
  <c r="K240" i="5"/>
  <c r="K239" i="5"/>
  <c r="K238" i="5"/>
  <c r="K237" i="5"/>
  <c r="K236" i="5"/>
  <c r="K235" i="5"/>
  <c r="K234" i="5"/>
  <c r="K233" i="5"/>
  <c r="K232" i="5"/>
  <c r="K231" i="5"/>
  <c r="K230" i="5"/>
  <c r="K229" i="5"/>
  <c r="K228" i="5"/>
  <c r="K227" i="5"/>
  <c r="K226" i="5"/>
  <c r="K225" i="5"/>
  <c r="K224" i="5"/>
  <c r="G274" i="5"/>
  <c r="M274" i="5" s="1"/>
  <c r="N274" i="5" s="1"/>
  <c r="G273" i="5"/>
  <c r="M273" i="5" s="1"/>
  <c r="N273" i="5" s="1"/>
  <c r="G272" i="5"/>
  <c r="M272" i="5" s="1"/>
  <c r="N272" i="5" s="1"/>
  <c r="G271" i="5"/>
  <c r="M271" i="5" s="1"/>
  <c r="N271" i="5" s="1"/>
  <c r="G270" i="5"/>
  <c r="M270" i="5" s="1"/>
  <c r="N270" i="5" s="1"/>
  <c r="G269" i="5"/>
  <c r="M269" i="5" s="1"/>
  <c r="N269" i="5" s="1"/>
  <c r="G268" i="5"/>
  <c r="M268" i="5" s="1"/>
  <c r="N268" i="5" s="1"/>
  <c r="G267" i="5"/>
  <c r="M267" i="5" s="1"/>
  <c r="N267" i="5" s="1"/>
  <c r="G266" i="5"/>
  <c r="M266" i="5" s="1"/>
  <c r="N266" i="5" s="1"/>
  <c r="G265" i="5"/>
  <c r="M265" i="5" s="1"/>
  <c r="N265" i="5" s="1"/>
  <c r="G264" i="5"/>
  <c r="M264" i="5" s="1"/>
  <c r="N264" i="5" s="1"/>
  <c r="G263" i="5"/>
  <c r="M263" i="5" s="1"/>
  <c r="N263" i="5" s="1"/>
  <c r="G262" i="5"/>
  <c r="M262" i="5" s="1"/>
  <c r="N262" i="5" s="1"/>
  <c r="G261" i="5"/>
  <c r="M261" i="5" s="1"/>
  <c r="N261" i="5" s="1"/>
  <c r="G260" i="5"/>
  <c r="M260" i="5" s="1"/>
  <c r="N260" i="5" s="1"/>
  <c r="G259" i="5"/>
  <c r="M259" i="5" s="1"/>
  <c r="N259" i="5" s="1"/>
  <c r="G258" i="5"/>
  <c r="M258" i="5" s="1"/>
  <c r="N258" i="5" s="1"/>
  <c r="G257" i="5"/>
  <c r="M257" i="5" s="1"/>
  <c r="N257" i="5" s="1"/>
  <c r="G256" i="5"/>
  <c r="M256" i="5" s="1"/>
  <c r="N256" i="5" s="1"/>
  <c r="G255" i="5"/>
  <c r="M255" i="5" s="1"/>
  <c r="N255" i="5" s="1"/>
  <c r="G254" i="5"/>
  <c r="M254" i="5" s="1"/>
  <c r="N254" i="5" s="1"/>
  <c r="G253" i="5"/>
  <c r="M253" i="5" s="1"/>
  <c r="N253" i="5" s="1"/>
  <c r="G252" i="5"/>
  <c r="M252" i="5" s="1"/>
  <c r="N252" i="5" s="1"/>
  <c r="G251" i="5"/>
  <c r="M251" i="5" s="1"/>
  <c r="N251" i="5" s="1"/>
  <c r="G250" i="5"/>
  <c r="M250" i="5" s="1"/>
  <c r="N250" i="5" s="1"/>
  <c r="G249" i="5"/>
  <c r="M249" i="5" s="1"/>
  <c r="N249" i="5" s="1"/>
  <c r="G248" i="5"/>
  <c r="M248" i="5" s="1"/>
  <c r="N248" i="5" s="1"/>
  <c r="G247" i="5"/>
  <c r="G246" i="5"/>
  <c r="M246" i="5" s="1"/>
  <c r="N246" i="5" s="1"/>
  <c r="G245" i="5"/>
  <c r="M245" i="5" s="1"/>
  <c r="N245" i="5" s="1"/>
  <c r="G244" i="5"/>
  <c r="M244" i="5" s="1"/>
  <c r="N244" i="5" s="1"/>
  <c r="G243" i="5"/>
  <c r="M243" i="5" s="1"/>
  <c r="N243" i="5" s="1"/>
  <c r="G242" i="5"/>
  <c r="M242" i="5" s="1"/>
  <c r="N242" i="5" s="1"/>
  <c r="G241" i="5"/>
  <c r="M241" i="5" s="1"/>
  <c r="N241" i="5" s="1"/>
  <c r="G240" i="5"/>
  <c r="M240" i="5" s="1"/>
  <c r="N240" i="5" s="1"/>
  <c r="G239" i="5"/>
  <c r="M239" i="5" s="1"/>
  <c r="N239" i="5" s="1"/>
  <c r="G238" i="5"/>
  <c r="M238" i="5" s="1"/>
  <c r="N238" i="5" s="1"/>
  <c r="G237" i="5"/>
  <c r="M237" i="5" s="1"/>
  <c r="N237" i="5" s="1"/>
  <c r="G236" i="5"/>
  <c r="M236" i="5" s="1"/>
  <c r="N236" i="5" s="1"/>
  <c r="G235" i="5"/>
  <c r="M235" i="5" s="1"/>
  <c r="N235" i="5" s="1"/>
  <c r="G234" i="5"/>
  <c r="M234" i="5" s="1"/>
  <c r="N234" i="5" s="1"/>
  <c r="G233" i="5"/>
  <c r="M233" i="5" s="1"/>
  <c r="N233" i="5" s="1"/>
  <c r="G232" i="5"/>
  <c r="M232" i="5" s="1"/>
  <c r="N232" i="5" s="1"/>
  <c r="G231" i="5"/>
  <c r="M231" i="5" s="1"/>
  <c r="N231" i="5" s="1"/>
  <c r="G230" i="5"/>
  <c r="M230" i="5" s="1"/>
  <c r="N230" i="5" s="1"/>
  <c r="G229" i="5"/>
  <c r="M229" i="5" s="1"/>
  <c r="N229" i="5" s="1"/>
  <c r="G228" i="5"/>
  <c r="M228" i="5" s="1"/>
  <c r="N228" i="5" s="1"/>
  <c r="G227" i="5"/>
  <c r="M227" i="5" s="1"/>
  <c r="N227" i="5" s="1"/>
  <c r="G226" i="5"/>
  <c r="M226" i="5" s="1"/>
  <c r="N226" i="5" s="1"/>
  <c r="G225" i="5"/>
  <c r="M225" i="5" s="1"/>
  <c r="N225" i="5" s="1"/>
  <c r="G224" i="5"/>
  <c r="M224" i="5" s="1"/>
  <c r="N224" i="5" s="1"/>
  <c r="M247" i="5"/>
  <c r="N247" i="5" s="1"/>
  <c r="K319" i="5"/>
  <c r="G319" i="5"/>
  <c r="K347" i="5"/>
  <c r="K346" i="5"/>
  <c r="K345" i="5"/>
  <c r="K344" i="5"/>
  <c r="K343" i="5"/>
  <c r="K342" i="5"/>
  <c r="K341" i="5"/>
  <c r="K340" i="5"/>
  <c r="G347" i="5"/>
  <c r="M347" i="5" s="1"/>
  <c r="N347" i="5" s="1"/>
  <c r="G346" i="5"/>
  <c r="M346" i="5" s="1"/>
  <c r="N346" i="5" s="1"/>
  <c r="G345" i="5"/>
  <c r="M345" i="5" s="1"/>
  <c r="N345" i="5" s="1"/>
  <c r="G344" i="5"/>
  <c r="M344" i="5" s="1"/>
  <c r="N344" i="5" s="1"/>
  <c r="G343" i="5"/>
  <c r="M343" i="5" s="1"/>
  <c r="N343" i="5" s="1"/>
  <c r="G342" i="5"/>
  <c r="M342" i="5" s="1"/>
  <c r="N342" i="5" s="1"/>
  <c r="G341" i="5"/>
  <c r="M341" i="5" s="1"/>
  <c r="N341" i="5" s="1"/>
  <c r="G340" i="5"/>
  <c r="M340" i="5" s="1"/>
  <c r="N340" i="5" s="1"/>
  <c r="G510" i="5"/>
  <c r="M510" i="5" s="1"/>
  <c r="N510" i="5" s="1"/>
  <c r="G509" i="5"/>
  <c r="M509" i="5" s="1"/>
  <c r="N509" i="5" s="1"/>
  <c r="G508" i="5"/>
  <c r="M508" i="5" s="1"/>
  <c r="N508" i="5" s="1"/>
  <c r="G507" i="5"/>
  <c r="M507" i="5" s="1"/>
  <c r="N507" i="5" s="1"/>
  <c r="G469" i="5"/>
  <c r="M469" i="5" s="1"/>
  <c r="N469" i="5" s="1"/>
  <c r="G468" i="5"/>
  <c r="M468" i="5" s="1"/>
  <c r="N468" i="5" s="1"/>
  <c r="G467" i="5"/>
  <c r="M467" i="5" s="1"/>
  <c r="N467" i="5" s="1"/>
  <c r="G466" i="5"/>
  <c r="M466" i="5" s="1"/>
  <c r="N466" i="5" s="1"/>
  <c r="G465" i="5"/>
  <c r="M465" i="5" s="1"/>
  <c r="N465" i="5" s="1"/>
  <c r="G464" i="5"/>
  <c r="M464" i="5" s="1"/>
  <c r="N464" i="5" s="1"/>
  <c r="G463" i="5"/>
  <c r="M463" i="5" s="1"/>
  <c r="N463" i="5" s="1"/>
  <c r="G462" i="5"/>
  <c r="M462" i="5" s="1"/>
  <c r="N462" i="5" s="1"/>
  <c r="G461" i="5"/>
  <c r="M461" i="5" s="1"/>
  <c r="N461" i="5" s="1"/>
  <c r="G460" i="5"/>
  <c r="M460" i="5" s="1"/>
  <c r="N460" i="5" s="1"/>
  <c r="G459" i="5"/>
  <c r="M459" i="5" s="1"/>
  <c r="N459" i="5" s="1"/>
  <c r="G458" i="5"/>
  <c r="M458" i="5" s="1"/>
  <c r="N458" i="5" s="1"/>
  <c r="G457" i="5"/>
  <c r="M457" i="5" s="1"/>
  <c r="N457" i="5" s="1"/>
  <c r="K469" i="5"/>
  <c r="K468" i="5"/>
  <c r="K467" i="5"/>
  <c r="K465" i="5"/>
  <c r="K464" i="5"/>
  <c r="K463" i="5"/>
  <c r="K461" i="5"/>
  <c r="K460" i="5"/>
  <c r="K459" i="5"/>
  <c r="K458" i="5"/>
  <c r="K457" i="5"/>
  <c r="H462" i="5"/>
  <c r="K462" i="5" s="1"/>
  <c r="H466" i="5"/>
  <c r="K466" i="5" s="1"/>
  <c r="H509" i="5"/>
  <c r="K509" i="5" s="1"/>
  <c r="H508" i="5"/>
  <c r="K508" i="5" s="1"/>
  <c r="H507" i="5"/>
  <c r="K507" i="5" s="1"/>
  <c r="H506" i="5"/>
  <c r="K506" i="5" s="1"/>
  <c r="G506" i="5"/>
  <c r="M506" i="5" s="1"/>
  <c r="H505" i="5"/>
  <c r="K505" i="5" s="1"/>
  <c r="G505" i="5"/>
  <c r="M505" i="5" s="1"/>
  <c r="H510" i="5"/>
  <c r="K510" i="5" s="1"/>
  <c r="G760" i="5"/>
  <c r="M760" i="5" s="1"/>
  <c r="N760" i="5" s="1"/>
  <c r="G759" i="5"/>
  <c r="M759" i="5" s="1"/>
  <c r="N759" i="5" s="1"/>
  <c r="G758" i="5"/>
  <c r="M758" i="5" s="1"/>
  <c r="N758" i="5" s="1"/>
  <c r="G757" i="5"/>
  <c r="M757" i="5" s="1"/>
  <c r="N757" i="5" s="1"/>
  <c r="G756" i="5"/>
  <c r="M756" i="5" s="1"/>
  <c r="N756" i="5" s="1"/>
  <c r="G755" i="5"/>
  <c r="M755" i="5" s="1"/>
  <c r="N755" i="5" s="1"/>
  <c r="G754" i="5"/>
  <c r="M754" i="5" s="1"/>
  <c r="N754" i="5" s="1"/>
  <c r="G753" i="5"/>
  <c r="M753" i="5" s="1"/>
  <c r="N753" i="5" s="1"/>
  <c r="G752" i="5"/>
  <c r="M752" i="5" s="1"/>
  <c r="N752" i="5" s="1"/>
  <c r="G751" i="5"/>
  <c r="M751" i="5" s="1"/>
  <c r="N751" i="5" s="1"/>
  <c r="G750" i="5"/>
  <c r="M750" i="5" s="1"/>
  <c r="N750" i="5" s="1"/>
  <c r="G749" i="5"/>
  <c r="M749" i="5" s="1"/>
  <c r="N749" i="5" s="1"/>
  <c r="G748" i="5"/>
  <c r="M748" i="5" s="1"/>
  <c r="N748" i="5" s="1"/>
  <c r="K762" i="5"/>
  <c r="K759" i="5"/>
  <c r="K755" i="5"/>
  <c r="K752" i="5"/>
  <c r="K751" i="5"/>
  <c r="K750" i="5"/>
  <c r="K749" i="5"/>
  <c r="K746" i="5"/>
  <c r="K745" i="5"/>
  <c r="H747" i="5"/>
  <c r="K747" i="5" s="1"/>
  <c r="G747" i="5"/>
  <c r="M747" i="5" s="1"/>
  <c r="N747" i="5" s="1"/>
  <c r="G746" i="5"/>
  <c r="M746" i="5" s="1"/>
  <c r="N746" i="5" s="1"/>
  <c r="G745" i="5"/>
  <c r="M745" i="5" s="1"/>
  <c r="N745" i="5" s="1"/>
  <c r="I748" i="5"/>
  <c r="K748" i="5" s="1"/>
  <c r="H753" i="5"/>
  <c r="K753" i="5" s="1"/>
  <c r="H754" i="5"/>
  <c r="K754" i="5" s="1"/>
  <c r="H756" i="5"/>
  <c r="K756" i="5" s="1"/>
  <c r="H757" i="5"/>
  <c r="K757" i="5" s="1"/>
  <c r="H758" i="5"/>
  <c r="K758" i="5" s="1"/>
  <c r="H760" i="5"/>
  <c r="K760" i="5" s="1"/>
  <c r="G764" i="5"/>
  <c r="M764" i="5" s="1"/>
  <c r="N764" i="5" s="1"/>
  <c r="H764" i="5"/>
  <c r="K764" i="5" s="1"/>
  <c r="G763" i="5"/>
  <c r="M763" i="5" s="1"/>
  <c r="N763" i="5" s="1"/>
  <c r="G762" i="5"/>
  <c r="M762" i="5" s="1"/>
  <c r="N762" i="5" s="1"/>
  <c r="H763" i="5"/>
  <c r="K763" i="5" s="1"/>
  <c r="H761" i="5"/>
  <c r="K761" i="5" s="1"/>
  <c r="G761" i="5"/>
  <c r="M761" i="5" s="1"/>
  <c r="N761" i="5" s="1"/>
  <c r="K821" i="5"/>
  <c r="G821" i="5"/>
  <c r="M821" i="5" s="1"/>
  <c r="N821" i="5" s="1"/>
  <c r="K819" i="5"/>
  <c r="K818" i="5"/>
  <c r="K817" i="5"/>
  <c r="G820" i="5"/>
  <c r="M820" i="5" s="1"/>
  <c r="N820" i="5" s="1"/>
  <c r="G819" i="5"/>
  <c r="M819" i="5" s="1"/>
  <c r="N819" i="5" s="1"/>
  <c r="G818" i="5"/>
  <c r="M818" i="5" s="1"/>
  <c r="N818" i="5" s="1"/>
  <c r="G817" i="5"/>
  <c r="M817" i="5" s="1"/>
  <c r="N817" i="5" s="1"/>
  <c r="H820" i="5"/>
  <c r="K820" i="5" s="1"/>
  <c r="H816" i="5"/>
  <c r="K816" i="5" s="1"/>
  <c r="G816" i="5"/>
  <c r="M816" i="5" s="1"/>
  <c r="N816" i="5" s="1"/>
  <c r="H815" i="5"/>
  <c r="K815" i="5" s="1"/>
  <c r="G815" i="5"/>
  <c r="M815" i="5" s="1"/>
  <c r="N815" i="5" s="1"/>
  <c r="H814" i="5"/>
  <c r="K814" i="5" s="1"/>
  <c r="G814" i="5"/>
  <c r="M814" i="5" s="1"/>
  <c r="N814" i="5" s="1"/>
  <c r="G813" i="5"/>
  <c r="M813" i="5" s="1"/>
  <c r="N813" i="5" s="1"/>
  <c r="H811" i="5"/>
  <c r="K811" i="5" s="1"/>
  <c r="K813" i="5"/>
  <c r="K812" i="5"/>
  <c r="G812" i="5"/>
  <c r="M812" i="5" s="1"/>
  <c r="N812" i="5" s="1"/>
  <c r="G811" i="5"/>
  <c r="M811" i="5" s="1"/>
  <c r="N811" i="5" s="1"/>
  <c r="K765" i="5"/>
  <c r="G765" i="5"/>
  <c r="M765" i="5" s="1"/>
  <c r="K810" i="5"/>
  <c r="K809" i="5"/>
  <c r="K808" i="5"/>
  <c r="K807" i="5"/>
  <c r="K806" i="5"/>
  <c r="K805" i="5"/>
  <c r="K804" i="5"/>
  <c r="K803" i="5"/>
  <c r="K802" i="5"/>
  <c r="K801" i="5"/>
  <c r="K800" i="5"/>
  <c r="K799" i="5"/>
  <c r="K797" i="5"/>
  <c r="K792" i="5"/>
  <c r="K791" i="5"/>
  <c r="K787" i="5"/>
  <c r="K786" i="5"/>
  <c r="K785" i="5"/>
  <c r="K784" i="5"/>
  <c r="K783" i="5"/>
  <c r="K777" i="5"/>
  <c r="G810" i="5"/>
  <c r="M810" i="5" s="1"/>
  <c r="N810" i="5" s="1"/>
  <c r="G809" i="5"/>
  <c r="M809" i="5" s="1"/>
  <c r="N809" i="5" s="1"/>
  <c r="G808" i="5"/>
  <c r="M808" i="5" s="1"/>
  <c r="N808" i="5" s="1"/>
  <c r="G807" i="5"/>
  <c r="M807" i="5" s="1"/>
  <c r="N807" i="5" s="1"/>
  <c r="G806" i="5"/>
  <c r="M806" i="5" s="1"/>
  <c r="N806" i="5" s="1"/>
  <c r="G805" i="5"/>
  <c r="M805" i="5" s="1"/>
  <c r="N805" i="5" s="1"/>
  <c r="G804" i="5"/>
  <c r="M804" i="5" s="1"/>
  <c r="N804" i="5" s="1"/>
  <c r="G803" i="5"/>
  <c r="M803" i="5" s="1"/>
  <c r="N803" i="5" s="1"/>
  <c r="G802" i="5"/>
  <c r="M802" i="5" s="1"/>
  <c r="N802" i="5" s="1"/>
  <c r="G801" i="5"/>
  <c r="M801" i="5" s="1"/>
  <c r="N801" i="5" s="1"/>
  <c r="G800" i="5"/>
  <c r="M800" i="5" s="1"/>
  <c r="N800" i="5" s="1"/>
  <c r="G799" i="5"/>
  <c r="M799" i="5" s="1"/>
  <c r="N799" i="5" s="1"/>
  <c r="G797" i="5"/>
  <c r="M797" i="5" s="1"/>
  <c r="N797" i="5" s="1"/>
  <c r="G792" i="5"/>
  <c r="M792" i="5" s="1"/>
  <c r="N792" i="5" s="1"/>
  <c r="G791" i="5"/>
  <c r="M791" i="5" s="1"/>
  <c r="N791" i="5" s="1"/>
  <c r="G787" i="5"/>
  <c r="M787" i="5" s="1"/>
  <c r="N787" i="5" s="1"/>
  <c r="G786" i="5"/>
  <c r="M786" i="5" s="1"/>
  <c r="N786" i="5" s="1"/>
  <c r="G785" i="5"/>
  <c r="M785" i="5" s="1"/>
  <c r="N785" i="5" s="1"/>
  <c r="G784" i="5"/>
  <c r="M784" i="5" s="1"/>
  <c r="N784" i="5" s="1"/>
  <c r="G783" i="5"/>
  <c r="M783" i="5" s="1"/>
  <c r="N783" i="5" s="1"/>
  <c r="G777" i="5"/>
  <c r="M777" i="5" s="1"/>
  <c r="N777" i="5" s="1"/>
  <c r="K766" i="5"/>
  <c r="G766" i="5"/>
  <c r="M766" i="5" s="1"/>
  <c r="G152" i="5" l="1"/>
  <c r="M152" i="5" s="1"/>
  <c r="N152" i="5" s="1"/>
  <c r="G166" i="5"/>
  <c r="M166" i="5" s="1"/>
  <c r="N166" i="5" s="1"/>
  <c r="G157" i="5"/>
  <c r="M157" i="5" s="1"/>
  <c r="N157" i="5" s="1"/>
  <c r="G122" i="5"/>
  <c r="M122" i="5" s="1"/>
  <c r="N122" i="5" s="1"/>
  <c r="G118" i="5"/>
  <c r="M118" i="5" s="1"/>
  <c r="N118" i="5" s="1"/>
  <c r="G159" i="5"/>
  <c r="M159" i="5" s="1"/>
  <c r="N159" i="5" s="1"/>
  <c r="G127" i="5"/>
  <c r="M127" i="5" s="1"/>
  <c r="N127" i="5" s="1"/>
  <c r="G164" i="5"/>
  <c r="M164" i="5" s="1"/>
  <c r="N164" i="5" s="1"/>
  <c r="G117" i="5"/>
  <c r="M117" i="5" s="1"/>
  <c r="N117" i="5" s="1"/>
  <c r="G140" i="5"/>
  <c r="M140" i="5" s="1"/>
  <c r="N140" i="5" s="1"/>
  <c r="G116" i="5"/>
  <c r="M116" i="5" s="1"/>
  <c r="N116" i="5" s="1"/>
  <c r="G154" i="5"/>
  <c r="M154" i="5" s="1"/>
  <c r="N154" i="5" s="1"/>
  <c r="G143" i="5"/>
  <c r="M143" i="5" s="1"/>
  <c r="N143" i="5" s="1"/>
  <c r="G129" i="5"/>
  <c r="M129" i="5" s="1"/>
  <c r="N129" i="5" s="1"/>
  <c r="G125" i="5"/>
  <c r="M125" i="5" s="1"/>
  <c r="N125" i="5" s="1"/>
  <c r="G132" i="5"/>
  <c r="M132" i="5" s="1"/>
  <c r="N132" i="5" s="1"/>
  <c r="G124" i="5"/>
  <c r="M124" i="5" s="1"/>
  <c r="N124" i="5" s="1"/>
  <c r="G120" i="5"/>
  <c r="M120" i="5" s="1"/>
  <c r="N120" i="5" s="1"/>
  <c r="G135" i="5"/>
  <c r="M135" i="5" s="1"/>
  <c r="N135" i="5" s="1"/>
  <c r="G123" i="5"/>
  <c r="M123" i="5" s="1"/>
  <c r="N123" i="5" s="1"/>
  <c r="G139" i="5"/>
  <c r="M139" i="5" s="1"/>
  <c r="N139" i="5" s="1"/>
  <c r="G115" i="5"/>
  <c r="M115" i="5" s="1"/>
  <c r="N115" i="5" s="1"/>
  <c r="G142" i="5"/>
  <c r="M142" i="5" s="1"/>
  <c r="N142" i="5" s="1"/>
  <c r="G128" i="5"/>
  <c r="M128" i="5" s="1"/>
  <c r="N128" i="5" s="1"/>
  <c r="G134" i="5"/>
  <c r="M134" i="5" s="1"/>
  <c r="N134" i="5" s="1"/>
  <c r="G141" i="5"/>
  <c r="M141" i="5" s="1"/>
  <c r="N141" i="5" s="1"/>
  <c r="G119" i="5"/>
  <c r="M119" i="5" s="1"/>
  <c r="N119" i="5" s="1"/>
  <c r="G121" i="5"/>
  <c r="M121" i="5" s="1"/>
  <c r="N121" i="5" s="1"/>
  <c r="G144" i="5"/>
  <c r="M144" i="5" s="1"/>
  <c r="N144" i="5" s="1"/>
  <c r="G136" i="5"/>
  <c r="M136" i="5" s="1"/>
  <c r="N136" i="5" s="1"/>
  <c r="G133" i="5"/>
  <c r="M133" i="5" s="1"/>
  <c r="N133" i="5" s="1"/>
  <c r="G131" i="5"/>
  <c r="M131" i="5" s="1"/>
  <c r="N131" i="5" s="1"/>
  <c r="G138" i="5"/>
  <c r="M138" i="5" s="1"/>
  <c r="N138" i="5" s="1"/>
  <c r="G130" i="5"/>
  <c r="M130" i="5" s="1"/>
  <c r="N130" i="5" s="1"/>
  <c r="G126" i="5"/>
  <c r="M126" i="5" s="1"/>
  <c r="N126" i="5" s="1"/>
  <c r="G137" i="5"/>
  <c r="M137" i="5" s="1"/>
  <c r="N137" i="5" s="1"/>
  <c r="M319" i="5"/>
  <c r="N319" i="5" s="1"/>
  <c r="N765" i="5"/>
  <c r="N766" i="5"/>
  <c r="G664" i="5"/>
  <c r="M664" i="5" s="1"/>
  <c r="N664" i="5" s="1"/>
  <c r="G663" i="5"/>
  <c r="M663" i="5" s="1"/>
  <c r="N663" i="5" s="1"/>
  <c r="G662" i="5"/>
  <c r="M662" i="5" s="1"/>
  <c r="N662" i="5" s="1"/>
  <c r="K369" i="5"/>
  <c r="K368" i="5"/>
  <c r="K367" i="5"/>
  <c r="K366" i="5"/>
  <c r="K365" i="5"/>
  <c r="K364" i="5"/>
  <c r="K363" i="5"/>
  <c r="K362" i="5"/>
  <c r="K361" i="5"/>
  <c r="K360" i="5"/>
  <c r="K359" i="5"/>
  <c r="K358" i="5"/>
  <c r="K357" i="5"/>
  <c r="K356" i="5"/>
  <c r="K355" i="5"/>
  <c r="K354" i="5"/>
  <c r="K353" i="5"/>
  <c r="K352" i="5"/>
  <c r="K351" i="5"/>
  <c r="K350" i="5"/>
  <c r="K349" i="5"/>
  <c r="K348" i="5"/>
  <c r="G369" i="5"/>
  <c r="M369" i="5" s="1"/>
  <c r="G368" i="5"/>
  <c r="M368" i="5" s="1"/>
  <c r="G367" i="5"/>
  <c r="M367" i="5" s="1"/>
  <c r="G366" i="5"/>
  <c r="M366" i="5" s="1"/>
  <c r="G365" i="5"/>
  <c r="M365" i="5" s="1"/>
  <c r="G364" i="5"/>
  <c r="M364" i="5" s="1"/>
  <c r="G363" i="5"/>
  <c r="M363" i="5" s="1"/>
  <c r="G362" i="5"/>
  <c r="M362" i="5" s="1"/>
  <c r="G361" i="5"/>
  <c r="M361" i="5" s="1"/>
  <c r="G360" i="5"/>
  <c r="M360" i="5" s="1"/>
  <c r="G359" i="5"/>
  <c r="M359" i="5" s="1"/>
  <c r="G358" i="5"/>
  <c r="M358" i="5" s="1"/>
  <c r="G357" i="5"/>
  <c r="M357" i="5" s="1"/>
  <c r="G356" i="5"/>
  <c r="M356" i="5" s="1"/>
  <c r="G355" i="5"/>
  <c r="M355" i="5" s="1"/>
  <c r="G354" i="5"/>
  <c r="M354" i="5" s="1"/>
  <c r="G353" i="5"/>
  <c r="M353" i="5" s="1"/>
  <c r="G352" i="5"/>
  <c r="M352" i="5" s="1"/>
  <c r="G351" i="5"/>
  <c r="M351" i="5" s="1"/>
  <c r="G350" i="5"/>
  <c r="M350" i="5" s="1"/>
  <c r="G349" i="5"/>
  <c r="M349" i="5" s="1"/>
  <c r="G348" i="5"/>
  <c r="M348" i="5" s="1"/>
  <c r="AH190" i="1" l="1"/>
  <c r="AH189" i="1"/>
  <c r="AH188" i="1"/>
  <c r="AH187" i="1"/>
  <c r="AH186" i="1"/>
  <c r="AH185" i="1"/>
  <c r="AH184" i="1"/>
  <c r="AH183" i="1"/>
  <c r="AH182" i="1"/>
  <c r="AH181" i="1"/>
  <c r="AH180" i="1"/>
  <c r="AH179" i="1"/>
  <c r="AH178" i="1"/>
  <c r="AH177" i="1"/>
  <c r="AH176" i="1"/>
  <c r="AH175" i="1"/>
  <c r="AH174" i="1"/>
  <c r="AH173" i="1"/>
  <c r="AH172" i="1"/>
  <c r="AH171" i="1"/>
  <c r="AH170" i="1"/>
  <c r="AH169" i="1"/>
  <c r="AH168" i="1"/>
  <c r="AH167" i="1"/>
  <c r="AH166" i="1"/>
  <c r="AH165" i="1"/>
  <c r="AH164" i="1"/>
  <c r="AH163" i="1"/>
  <c r="AH162" i="1"/>
  <c r="AH161" i="1"/>
  <c r="AH160" i="1"/>
  <c r="AH159" i="1"/>
  <c r="AH158" i="1"/>
  <c r="AH157" i="1"/>
  <c r="AH156" i="1"/>
  <c r="AH155" i="1"/>
  <c r="AH154" i="1"/>
  <c r="AH153" i="1"/>
  <c r="AH152" i="1"/>
  <c r="AH151" i="1"/>
  <c r="AH150" i="1"/>
  <c r="AH149" i="1"/>
  <c r="AH148" i="1"/>
  <c r="AH147" i="1"/>
  <c r="AH146" i="1"/>
  <c r="AH145" i="1"/>
  <c r="AH144" i="1"/>
  <c r="AH143" i="1"/>
  <c r="AH142" i="1"/>
  <c r="AH141" i="1"/>
  <c r="AH140" i="1"/>
  <c r="AH139" i="1"/>
  <c r="AH138" i="1"/>
  <c r="AH137" i="1"/>
  <c r="AH136" i="1"/>
  <c r="AH135" i="1"/>
  <c r="AH134" i="1"/>
  <c r="AH133" i="1"/>
  <c r="AH132" i="1"/>
  <c r="AH131" i="1"/>
  <c r="AH130" i="1"/>
  <c r="AH129" i="1"/>
  <c r="AH128" i="1"/>
  <c r="AH127" i="1"/>
  <c r="AH126" i="1"/>
  <c r="AH125" i="1"/>
  <c r="AH124" i="1"/>
  <c r="AH123" i="1"/>
  <c r="AH122" i="1"/>
  <c r="AH121" i="1"/>
  <c r="AH120" i="1"/>
  <c r="AH119" i="1"/>
  <c r="AH118" i="1"/>
  <c r="AH117" i="1"/>
  <c r="AH116" i="1"/>
  <c r="AH115" i="1"/>
  <c r="AH114" i="1"/>
  <c r="AH113" i="1"/>
  <c r="AH112" i="1"/>
  <c r="AH111" i="1"/>
  <c r="AH110" i="1"/>
  <c r="AH108" i="1"/>
  <c r="AH107" i="1"/>
  <c r="AH106" i="1"/>
  <c r="AH105" i="1"/>
  <c r="AH104" i="1"/>
  <c r="AH103" i="1"/>
  <c r="AH102" i="1"/>
  <c r="AH101" i="1"/>
  <c r="AH100" i="1"/>
  <c r="AH99" i="1"/>
  <c r="AH98" i="1"/>
  <c r="AH97" i="1"/>
  <c r="AH96" i="1"/>
  <c r="AH95" i="1"/>
  <c r="AH94" i="1"/>
  <c r="AH93" i="1"/>
  <c r="AH92" i="1"/>
  <c r="AH91" i="1"/>
  <c r="AH90" i="1"/>
  <c r="AH89" i="1"/>
  <c r="AH88" i="1"/>
  <c r="AH87" i="1"/>
  <c r="AH86" i="1"/>
  <c r="AH85" i="1"/>
  <c r="AH84" i="1"/>
  <c r="AH83" i="1"/>
  <c r="AH82" i="1"/>
  <c r="AH81" i="1"/>
  <c r="AH80" i="1"/>
  <c r="AH79" i="1"/>
  <c r="AH78" i="1"/>
  <c r="AH77" i="1"/>
  <c r="AH76" i="1"/>
  <c r="AH75" i="1"/>
  <c r="AH74" i="1"/>
  <c r="AH73" i="1"/>
  <c r="AH72" i="1"/>
  <c r="AH71" i="1"/>
  <c r="AH70" i="1"/>
  <c r="AH69" i="1"/>
  <c r="AH68" i="1"/>
  <c r="AH67" i="1"/>
  <c r="AH66" i="1"/>
  <c r="AH65" i="1"/>
  <c r="AH64" i="1"/>
  <c r="AH63" i="1"/>
  <c r="AH62" i="1"/>
  <c r="AH61" i="1"/>
  <c r="AH60" i="1"/>
  <c r="AH59" i="1"/>
  <c r="AH58" i="1"/>
  <c r="AH57" i="1"/>
  <c r="AH56" i="1"/>
  <c r="AH55" i="1"/>
  <c r="AH54" i="1"/>
  <c r="AH53" i="1"/>
  <c r="AH52" i="1"/>
  <c r="AH51" i="1"/>
  <c r="AH50" i="1"/>
  <c r="AH49" i="1"/>
  <c r="AH48" i="1"/>
  <c r="AH47" i="1"/>
  <c r="AH46" i="1"/>
  <c r="AH45" i="1"/>
  <c r="AH44" i="1"/>
  <c r="AH43" i="1"/>
  <c r="AH42" i="1"/>
  <c r="AH41" i="1"/>
  <c r="AH40" i="1"/>
  <c r="AH39" i="1"/>
  <c r="AH38" i="1"/>
  <c r="AH37" i="1"/>
  <c r="AH36" i="1"/>
  <c r="AH35" i="1"/>
  <c r="AH34" i="1"/>
  <c r="AH33" i="1"/>
  <c r="AH32" i="1"/>
  <c r="AH31" i="1"/>
  <c r="AH30" i="1"/>
  <c r="AH29" i="1"/>
  <c r="AH28" i="1"/>
  <c r="AH27" i="1"/>
  <c r="AH26" i="1"/>
  <c r="AH25" i="1"/>
  <c r="AH24" i="1"/>
  <c r="AH23" i="1"/>
  <c r="AH22" i="1"/>
  <c r="AH21" i="1"/>
  <c r="AH20" i="1"/>
  <c r="AH19" i="1"/>
  <c r="AH18" i="1"/>
  <c r="AH17" i="1"/>
  <c r="AH16" i="1"/>
  <c r="AH15" i="1"/>
  <c r="AH14" i="1"/>
  <c r="AH13" i="1"/>
  <c r="AH12" i="1"/>
  <c r="AH11" i="1"/>
  <c r="AH10" i="1"/>
  <c r="AH9" i="1"/>
  <c r="AH8" i="1"/>
  <c r="AH7" i="1"/>
  <c r="AH6" i="1"/>
  <c r="AH5" i="1"/>
  <c r="AH4" i="1"/>
  <c r="AH1" i="1"/>
  <c r="K640" i="5"/>
  <c r="K639" i="5"/>
  <c r="K638" i="5"/>
  <c r="K637" i="5"/>
  <c r="K636" i="5"/>
  <c r="K635" i="5"/>
  <c r="K634" i="5"/>
  <c r="K633" i="5"/>
  <c r="K632" i="5"/>
  <c r="K631" i="5"/>
  <c r="K630" i="5"/>
  <c r="K629" i="5"/>
  <c r="K628" i="5"/>
  <c r="K627" i="5"/>
  <c r="K625" i="5"/>
  <c r="K624" i="5"/>
  <c r="K623" i="5"/>
  <c r="K622" i="5"/>
  <c r="K621" i="5"/>
  <c r="K620" i="5"/>
  <c r="K619" i="5"/>
  <c r="K618" i="5"/>
  <c r="K617" i="5"/>
  <c r="K613" i="5"/>
  <c r="K612" i="5"/>
  <c r="K611" i="5"/>
  <c r="K610" i="5"/>
  <c r="K609" i="5"/>
  <c r="K608" i="5"/>
  <c r="K606" i="5"/>
  <c r="K603" i="5"/>
  <c r="K601" i="5"/>
  <c r="K598" i="5"/>
  <c r="K596" i="5"/>
  <c r="K595" i="5"/>
  <c r="K594" i="5"/>
  <c r="K593" i="5"/>
  <c r="K592" i="5"/>
  <c r="K591" i="5"/>
  <c r="K589" i="5"/>
  <c r="K588" i="5"/>
  <c r="K587" i="5"/>
  <c r="K586" i="5"/>
  <c r="K581" i="5"/>
  <c r="K580" i="5"/>
  <c r="K579" i="5"/>
  <c r="K578" i="5"/>
  <c r="K576" i="5"/>
  <c r="K575" i="5"/>
  <c r="K574" i="5"/>
  <c r="K573" i="5"/>
  <c r="K572" i="5"/>
  <c r="K570" i="5"/>
  <c r="K568" i="5"/>
  <c r="K567" i="5"/>
  <c r="K566" i="5"/>
  <c r="K565" i="5"/>
  <c r="K563" i="5"/>
  <c r="K561" i="5"/>
  <c r="K559" i="5"/>
  <c r="K558" i="5"/>
  <c r="K557" i="5"/>
  <c r="K556" i="5"/>
  <c r="K554" i="5"/>
  <c r="K553" i="5"/>
  <c r="K551" i="5"/>
  <c r="K550" i="5"/>
  <c r="K548" i="5"/>
  <c r="K547" i="5"/>
  <c r="K546" i="5"/>
  <c r="K545" i="5"/>
  <c r="K544" i="5"/>
  <c r="K543" i="5"/>
  <c r="K541" i="5"/>
  <c r="K539" i="5"/>
  <c r="K538" i="5"/>
  <c r="K537" i="5"/>
  <c r="K536" i="5"/>
  <c r="K534" i="5"/>
  <c r="K533" i="5"/>
  <c r="K532" i="5"/>
  <c r="K531" i="5"/>
  <c r="K530" i="5"/>
  <c r="K529" i="5"/>
  <c r="K528" i="5"/>
  <c r="K527" i="5"/>
  <c r="K526" i="5"/>
  <c r="K525" i="5"/>
  <c r="K522" i="5"/>
  <c r="K521" i="5"/>
  <c r="K520" i="5"/>
  <c r="K517" i="5"/>
  <c r="K516" i="5"/>
  <c r="K514" i="5"/>
  <c r="K513" i="5"/>
  <c r="K512" i="5"/>
  <c r="G605" i="5"/>
  <c r="M605" i="5" s="1"/>
  <c r="G604" i="5"/>
  <c r="M604" i="5" s="1"/>
  <c r="G603" i="5"/>
  <c r="M603" i="5" s="1"/>
  <c r="G602" i="5"/>
  <c r="M602" i="5" s="1"/>
  <c r="G601" i="5"/>
  <c r="M601" i="5" s="1"/>
  <c r="G600" i="5"/>
  <c r="M600" i="5" s="1"/>
  <c r="G599" i="5"/>
  <c r="M599" i="5" s="1"/>
  <c r="G598" i="5"/>
  <c r="M598" i="5" s="1"/>
  <c r="G597" i="5"/>
  <c r="M597" i="5" s="1"/>
  <c r="G596" i="5"/>
  <c r="M596" i="5" s="1"/>
  <c r="G595" i="5"/>
  <c r="M595" i="5" s="1"/>
  <c r="G594" i="5"/>
  <c r="M594" i="5" s="1"/>
  <c r="G593" i="5"/>
  <c r="M593" i="5" s="1"/>
  <c r="G592" i="5"/>
  <c r="M592" i="5" s="1"/>
  <c r="G591" i="5"/>
  <c r="M591" i="5" s="1"/>
  <c r="G590" i="5"/>
  <c r="M590" i="5" s="1"/>
  <c r="G589" i="5"/>
  <c r="M589" i="5" s="1"/>
  <c r="G588" i="5"/>
  <c r="M588" i="5" s="1"/>
  <c r="G587" i="5"/>
  <c r="M587" i="5" s="1"/>
  <c r="G586" i="5"/>
  <c r="M586" i="5" s="1"/>
  <c r="G585" i="5"/>
  <c r="M585" i="5" s="1"/>
  <c r="G584" i="5"/>
  <c r="M584" i="5" s="1"/>
  <c r="G583" i="5"/>
  <c r="M583" i="5" s="1"/>
  <c r="G582" i="5"/>
  <c r="M582" i="5" s="1"/>
  <c r="G581" i="5"/>
  <c r="M581" i="5" s="1"/>
  <c r="G580" i="5"/>
  <c r="M580" i="5" s="1"/>
  <c r="G579" i="5"/>
  <c r="M579" i="5" s="1"/>
  <c r="G578" i="5"/>
  <c r="M578" i="5" s="1"/>
  <c r="G577" i="5"/>
  <c r="M577" i="5" s="1"/>
  <c r="G576" i="5"/>
  <c r="M576" i="5" s="1"/>
  <c r="G575" i="5"/>
  <c r="M575" i="5" s="1"/>
  <c r="G574" i="5"/>
  <c r="M574" i="5" s="1"/>
  <c r="G573" i="5"/>
  <c r="M573" i="5" s="1"/>
  <c r="G572" i="5"/>
  <c r="M572" i="5" s="1"/>
  <c r="G571" i="5"/>
  <c r="M571" i="5" s="1"/>
  <c r="G570" i="5"/>
  <c r="M570" i="5" s="1"/>
  <c r="G569" i="5"/>
  <c r="M569" i="5" s="1"/>
  <c r="G568" i="5"/>
  <c r="M568" i="5" s="1"/>
  <c r="G567" i="5"/>
  <c r="M567" i="5" s="1"/>
  <c r="G566" i="5"/>
  <c r="M566" i="5" s="1"/>
  <c r="G565" i="5"/>
  <c r="M565" i="5" s="1"/>
  <c r="G564" i="5"/>
  <c r="M564" i="5" s="1"/>
  <c r="G563" i="5"/>
  <c r="M563" i="5" s="1"/>
  <c r="G562" i="5"/>
  <c r="M562" i="5" s="1"/>
  <c r="G561" i="5"/>
  <c r="M561" i="5" s="1"/>
  <c r="G560" i="5"/>
  <c r="M560" i="5" s="1"/>
  <c r="G559" i="5"/>
  <c r="M559" i="5" s="1"/>
  <c r="G558" i="5"/>
  <c r="M558" i="5" s="1"/>
  <c r="N558" i="5" s="1"/>
  <c r="G557" i="5"/>
  <c r="M557" i="5" s="1"/>
  <c r="N557" i="5" s="1"/>
  <c r="G556" i="5"/>
  <c r="M556" i="5" s="1"/>
  <c r="N556" i="5" s="1"/>
  <c r="G555" i="5"/>
  <c r="M555" i="5" s="1"/>
  <c r="N555" i="5" s="1"/>
  <c r="G554" i="5"/>
  <c r="M554" i="5" s="1"/>
  <c r="N554" i="5" s="1"/>
  <c r="G553" i="5"/>
  <c r="M553" i="5" s="1"/>
  <c r="N553" i="5" s="1"/>
  <c r="G552" i="5"/>
  <c r="M552" i="5" s="1"/>
  <c r="N552" i="5" s="1"/>
  <c r="G551" i="5"/>
  <c r="M551" i="5" s="1"/>
  <c r="N551" i="5" s="1"/>
  <c r="G550" i="5"/>
  <c r="M550" i="5" s="1"/>
  <c r="N550" i="5" s="1"/>
  <c r="G549" i="5"/>
  <c r="M549" i="5" s="1"/>
  <c r="N549" i="5" s="1"/>
  <c r="G548" i="5"/>
  <c r="M548" i="5" s="1"/>
  <c r="N548" i="5" s="1"/>
  <c r="G547" i="5"/>
  <c r="M547" i="5" s="1"/>
  <c r="N547" i="5" s="1"/>
  <c r="G546" i="5"/>
  <c r="M546" i="5" s="1"/>
  <c r="N546" i="5" s="1"/>
  <c r="G545" i="5"/>
  <c r="M545" i="5" s="1"/>
  <c r="N545" i="5" s="1"/>
  <c r="G544" i="5"/>
  <c r="M544" i="5" s="1"/>
  <c r="N544" i="5" s="1"/>
  <c r="G543" i="5"/>
  <c r="M543" i="5" s="1"/>
  <c r="N543" i="5" s="1"/>
  <c r="G542" i="5"/>
  <c r="M542" i="5" s="1"/>
  <c r="N542" i="5" s="1"/>
  <c r="G541" i="5"/>
  <c r="M541" i="5" s="1"/>
  <c r="N541" i="5" s="1"/>
  <c r="G540" i="5"/>
  <c r="M540" i="5" s="1"/>
  <c r="N540" i="5" s="1"/>
  <c r="G539" i="5"/>
  <c r="M539" i="5" s="1"/>
  <c r="N539" i="5" s="1"/>
  <c r="G538" i="5"/>
  <c r="M538" i="5" s="1"/>
  <c r="N538" i="5" s="1"/>
  <c r="G537" i="5"/>
  <c r="M537" i="5" s="1"/>
  <c r="N537" i="5" s="1"/>
  <c r="G536" i="5"/>
  <c r="M536" i="5" s="1"/>
  <c r="N536" i="5" s="1"/>
  <c r="G535" i="5"/>
  <c r="M535" i="5" s="1"/>
  <c r="N535" i="5" s="1"/>
  <c r="G534" i="5"/>
  <c r="M534" i="5" s="1"/>
  <c r="N534" i="5" s="1"/>
  <c r="G533" i="5"/>
  <c r="M533" i="5" s="1"/>
  <c r="N533" i="5" s="1"/>
  <c r="G532" i="5"/>
  <c r="M532" i="5" s="1"/>
  <c r="N532" i="5" s="1"/>
  <c r="G531" i="5"/>
  <c r="M531" i="5" s="1"/>
  <c r="N531" i="5" s="1"/>
  <c r="G530" i="5"/>
  <c r="M530" i="5" s="1"/>
  <c r="N530" i="5" s="1"/>
  <c r="G529" i="5"/>
  <c r="M529" i="5" s="1"/>
  <c r="N529" i="5" s="1"/>
  <c r="G528" i="5"/>
  <c r="M528" i="5" s="1"/>
  <c r="N528" i="5" s="1"/>
  <c r="G527" i="5"/>
  <c r="M527" i="5" s="1"/>
  <c r="N527" i="5" s="1"/>
  <c r="G526" i="5"/>
  <c r="M526" i="5" s="1"/>
  <c r="N526" i="5" s="1"/>
  <c r="G525" i="5"/>
  <c r="M525" i="5" s="1"/>
  <c r="N525" i="5" s="1"/>
  <c r="G524" i="5"/>
  <c r="M524" i="5" s="1"/>
  <c r="N524" i="5" s="1"/>
  <c r="G523" i="5"/>
  <c r="M523" i="5" s="1"/>
  <c r="N523" i="5" s="1"/>
  <c r="G522" i="5"/>
  <c r="M522" i="5" s="1"/>
  <c r="N522" i="5" s="1"/>
  <c r="G521" i="5"/>
  <c r="M521" i="5" s="1"/>
  <c r="N521" i="5" s="1"/>
  <c r="G520" i="5"/>
  <c r="M520" i="5" s="1"/>
  <c r="N520" i="5" s="1"/>
  <c r="G519" i="5"/>
  <c r="M519" i="5" s="1"/>
  <c r="N519" i="5" s="1"/>
  <c r="G518" i="5"/>
  <c r="M518" i="5" s="1"/>
  <c r="N518" i="5" s="1"/>
  <c r="G517" i="5"/>
  <c r="M517" i="5" s="1"/>
  <c r="N517" i="5" s="1"/>
  <c r="G516" i="5"/>
  <c r="M516" i="5" s="1"/>
  <c r="N516" i="5" s="1"/>
  <c r="G515" i="5"/>
  <c r="M515" i="5" s="1"/>
  <c r="N515" i="5" s="1"/>
  <c r="G514" i="5"/>
  <c r="M514" i="5" s="1"/>
  <c r="N514" i="5" s="1"/>
  <c r="G513" i="5"/>
  <c r="M513" i="5" s="1"/>
  <c r="N513" i="5" s="1"/>
  <c r="G512" i="5"/>
  <c r="M512" i="5" s="1"/>
  <c r="N512" i="5" s="1"/>
  <c r="G511" i="5"/>
  <c r="M511" i="5" s="1"/>
  <c r="N511" i="5" s="1"/>
  <c r="H605" i="5"/>
  <c r="K605" i="5" s="1"/>
  <c r="H604" i="5"/>
  <c r="K604" i="5" s="1"/>
  <c r="H602" i="5"/>
  <c r="K602" i="5" s="1"/>
  <c r="H600" i="5"/>
  <c r="K600" i="5" s="1"/>
  <c r="H599" i="5"/>
  <c r="K599" i="5" s="1"/>
  <c r="H597" i="5"/>
  <c r="K597" i="5" s="1"/>
  <c r="H590" i="5"/>
  <c r="K590" i="5" s="1"/>
  <c r="H585" i="5"/>
  <c r="K585" i="5" s="1"/>
  <c r="H584" i="5"/>
  <c r="K584" i="5" s="1"/>
  <c r="H583" i="5"/>
  <c r="K583" i="5" s="1"/>
  <c r="H582" i="5"/>
  <c r="K582" i="5" s="1"/>
  <c r="H577" i="5"/>
  <c r="K577" i="5" s="1"/>
  <c r="H571" i="5"/>
  <c r="K571" i="5" s="1"/>
  <c r="H511" i="5"/>
  <c r="K511" i="5" s="1"/>
  <c r="H515" i="5"/>
  <c r="K515" i="5" s="1"/>
  <c r="H518" i="5"/>
  <c r="K518" i="5" s="1"/>
  <c r="H519" i="5"/>
  <c r="K519" i="5" s="1"/>
  <c r="H523" i="5"/>
  <c r="K523" i="5" s="1"/>
  <c r="H524" i="5"/>
  <c r="K524" i="5" s="1"/>
  <c r="H535" i="5"/>
  <c r="K535" i="5" s="1"/>
  <c r="H540" i="5"/>
  <c r="K540" i="5" s="1"/>
  <c r="H542" i="5"/>
  <c r="K542" i="5" s="1"/>
  <c r="H549" i="5"/>
  <c r="K549" i="5" s="1"/>
  <c r="I552" i="5"/>
  <c r="K552" i="5" s="1"/>
  <c r="I555" i="5"/>
  <c r="K555" i="5" s="1"/>
  <c r="K432" i="5"/>
  <c r="G432" i="5"/>
  <c r="M432" i="5" s="1"/>
  <c r="G21" i="5"/>
  <c r="M21" i="5" s="1"/>
  <c r="H21" i="5"/>
  <c r="K21" i="5" s="1"/>
  <c r="K696" i="5"/>
  <c r="K695" i="5"/>
  <c r="K694" i="5"/>
  <c r="K693" i="5"/>
  <c r="K692" i="5"/>
  <c r="K691" i="5"/>
  <c r="K690" i="5"/>
  <c r="K689" i="5"/>
  <c r="K688" i="5"/>
  <c r="K687" i="5"/>
  <c r="K686" i="5"/>
  <c r="K685" i="5"/>
  <c r="K684" i="5"/>
  <c r="K683" i="5"/>
  <c r="K682" i="5"/>
  <c r="K681" i="5"/>
  <c r="K680" i="5"/>
  <c r="K679" i="5"/>
  <c r="K678" i="5"/>
  <c r="K677" i="5"/>
  <c r="K676" i="5"/>
  <c r="K675" i="5"/>
  <c r="K674" i="5"/>
  <c r="K673" i="5"/>
  <c r="K672" i="5"/>
  <c r="K671" i="5"/>
  <c r="K670" i="5"/>
  <c r="K669" i="5"/>
  <c r="K668" i="5"/>
  <c r="K667" i="5"/>
  <c r="K666" i="5"/>
  <c r="K665" i="5"/>
  <c r="K664" i="5"/>
  <c r="K663" i="5"/>
  <c r="K662" i="5"/>
  <c r="K661" i="5"/>
  <c r="K660" i="5"/>
  <c r="K659" i="5"/>
  <c r="K658" i="5"/>
  <c r="K657" i="5"/>
  <c r="K656" i="5"/>
  <c r="K655" i="5"/>
  <c r="K654" i="5"/>
  <c r="G696" i="5"/>
  <c r="M696" i="5" s="1"/>
  <c r="N696" i="5" s="1"/>
  <c r="G695" i="5"/>
  <c r="M695" i="5" s="1"/>
  <c r="N695" i="5" s="1"/>
  <c r="G694" i="5"/>
  <c r="M694" i="5" s="1"/>
  <c r="N694" i="5" s="1"/>
  <c r="G693" i="5"/>
  <c r="M693" i="5" s="1"/>
  <c r="N693" i="5" s="1"/>
  <c r="G692" i="5"/>
  <c r="M692" i="5" s="1"/>
  <c r="N692" i="5" s="1"/>
  <c r="G691" i="5"/>
  <c r="M691" i="5" s="1"/>
  <c r="N691" i="5" s="1"/>
  <c r="G690" i="5"/>
  <c r="M690" i="5" s="1"/>
  <c r="N690" i="5" s="1"/>
  <c r="G689" i="5"/>
  <c r="M689" i="5" s="1"/>
  <c r="N689" i="5" s="1"/>
  <c r="G688" i="5"/>
  <c r="M688" i="5" s="1"/>
  <c r="N688" i="5" s="1"/>
  <c r="G687" i="5"/>
  <c r="M687" i="5" s="1"/>
  <c r="N687" i="5" s="1"/>
  <c r="G686" i="5"/>
  <c r="M686" i="5" s="1"/>
  <c r="N686" i="5" s="1"/>
  <c r="G685" i="5"/>
  <c r="M685" i="5" s="1"/>
  <c r="N685" i="5" s="1"/>
  <c r="G684" i="5"/>
  <c r="M684" i="5" s="1"/>
  <c r="N684" i="5" s="1"/>
  <c r="G683" i="5"/>
  <c r="M683" i="5" s="1"/>
  <c r="N683" i="5" s="1"/>
  <c r="G682" i="5"/>
  <c r="M682" i="5" s="1"/>
  <c r="N682" i="5" s="1"/>
  <c r="G681" i="5"/>
  <c r="M681" i="5" s="1"/>
  <c r="N681" i="5" s="1"/>
  <c r="G680" i="5"/>
  <c r="M680" i="5" s="1"/>
  <c r="N680" i="5" s="1"/>
  <c r="G679" i="5"/>
  <c r="M679" i="5" s="1"/>
  <c r="N679" i="5" s="1"/>
  <c r="G678" i="5"/>
  <c r="M678" i="5" s="1"/>
  <c r="N678" i="5" s="1"/>
  <c r="G677" i="5"/>
  <c r="M677" i="5" s="1"/>
  <c r="N677" i="5" s="1"/>
  <c r="G676" i="5"/>
  <c r="M676" i="5" s="1"/>
  <c r="N676" i="5" s="1"/>
  <c r="G675" i="5"/>
  <c r="M675" i="5" s="1"/>
  <c r="N675" i="5" s="1"/>
  <c r="G674" i="5"/>
  <c r="M674" i="5" s="1"/>
  <c r="N674" i="5" s="1"/>
  <c r="G673" i="5"/>
  <c r="M673" i="5" s="1"/>
  <c r="N673" i="5" s="1"/>
  <c r="G672" i="5"/>
  <c r="M672" i="5" s="1"/>
  <c r="N672" i="5" s="1"/>
  <c r="G671" i="5"/>
  <c r="M671" i="5" s="1"/>
  <c r="N671" i="5" s="1"/>
  <c r="G670" i="5"/>
  <c r="M670" i="5" s="1"/>
  <c r="N670" i="5" s="1"/>
  <c r="G669" i="5"/>
  <c r="M669" i="5" s="1"/>
  <c r="N669" i="5" s="1"/>
  <c r="G668" i="5"/>
  <c r="M668" i="5" s="1"/>
  <c r="N668" i="5" s="1"/>
  <c r="G667" i="5"/>
  <c r="M667" i="5" s="1"/>
  <c r="N667" i="5" s="1"/>
  <c r="G666" i="5"/>
  <c r="M666" i="5" s="1"/>
  <c r="N666" i="5" s="1"/>
  <c r="G665" i="5"/>
  <c r="M665" i="5" s="1"/>
  <c r="N665" i="5" s="1"/>
  <c r="G661" i="5"/>
  <c r="M661" i="5" s="1"/>
  <c r="N661" i="5" s="1"/>
  <c r="G660" i="5"/>
  <c r="M660" i="5" s="1"/>
  <c r="N660" i="5" s="1"/>
  <c r="G659" i="5"/>
  <c r="M659" i="5" s="1"/>
  <c r="N659" i="5" s="1"/>
  <c r="G658" i="5"/>
  <c r="M658" i="5" s="1"/>
  <c r="N658" i="5" s="1"/>
  <c r="G657" i="5"/>
  <c r="M657" i="5" s="1"/>
  <c r="N657" i="5" s="1"/>
  <c r="G656" i="5"/>
  <c r="M656" i="5" s="1"/>
  <c r="N656" i="5" s="1"/>
  <c r="G655" i="5"/>
  <c r="M655" i="5" s="1"/>
  <c r="N655" i="5" s="1"/>
  <c r="G654" i="5"/>
  <c r="M654" i="5" s="1"/>
  <c r="N654" i="5" s="1"/>
  <c r="G653" i="5"/>
  <c r="M653" i="5" s="1"/>
  <c r="N653" i="5" s="1"/>
  <c r="G652" i="5"/>
  <c r="M652" i="5" s="1"/>
  <c r="N652" i="5" s="1"/>
  <c r="G651" i="5"/>
  <c r="M651" i="5" s="1"/>
  <c r="N651" i="5" s="1"/>
  <c r="N575" i="5" l="1"/>
  <c r="N584" i="5"/>
  <c r="N593" i="5"/>
  <c r="N577" i="5"/>
  <c r="N585" i="5"/>
  <c r="N601" i="5"/>
  <c r="N578" i="5"/>
  <c r="N586" i="5"/>
  <c r="N594" i="5"/>
  <c r="N602" i="5"/>
  <c r="N571" i="5"/>
  <c r="N579" i="5"/>
  <c r="N587" i="5"/>
  <c r="N595" i="5"/>
  <c r="N603" i="5"/>
  <c r="N592" i="5"/>
  <c r="N572" i="5"/>
  <c r="N580" i="5"/>
  <c r="N588" i="5"/>
  <c r="N596" i="5"/>
  <c r="N604" i="5"/>
  <c r="N573" i="5"/>
  <c r="N581" i="5"/>
  <c r="N589" i="5"/>
  <c r="N597" i="5"/>
  <c r="N605" i="5"/>
  <c r="N576" i="5"/>
  <c r="N574" i="5"/>
  <c r="N582" i="5"/>
  <c r="N590" i="5"/>
  <c r="N598" i="5"/>
  <c r="N600" i="5"/>
  <c r="N583" i="5"/>
  <c r="N591" i="5"/>
  <c r="N599" i="5"/>
  <c r="K653" i="5"/>
  <c r="K652" i="5"/>
  <c r="K650" i="5"/>
  <c r="K649" i="5"/>
  <c r="K647" i="5"/>
  <c r="I651" i="5"/>
  <c r="K651" i="5" s="1"/>
  <c r="G649" i="5"/>
  <c r="M649" i="5" s="1"/>
  <c r="N649" i="5" s="1"/>
  <c r="G650" i="5"/>
  <c r="M650" i="5" s="1"/>
  <c r="N650" i="5" s="1"/>
  <c r="G647" i="5"/>
  <c r="M647" i="5" s="1"/>
  <c r="N647" i="5" s="1"/>
  <c r="G636" i="5"/>
  <c r="M636" i="5" s="1"/>
  <c r="N636" i="5" s="1"/>
  <c r="G635" i="5"/>
  <c r="M635" i="5" s="1"/>
  <c r="N635" i="5" s="1"/>
  <c r="G633" i="5"/>
  <c r="M633" i="5" s="1"/>
  <c r="N633" i="5" s="1"/>
  <c r="G632" i="5"/>
  <c r="M632" i="5" s="1"/>
  <c r="N632" i="5" s="1"/>
  <c r="H626" i="5"/>
  <c r="K626" i="5" s="1"/>
  <c r="G630" i="5"/>
  <c r="M630" i="5" s="1"/>
  <c r="N630" i="5" s="1"/>
  <c r="G629" i="5"/>
  <c r="M629" i="5" s="1"/>
  <c r="N629" i="5" s="1"/>
  <c r="G626" i="5"/>
  <c r="M626" i="5" s="1"/>
  <c r="N626" i="5" s="1"/>
  <c r="G625" i="5"/>
  <c r="M625" i="5" s="1"/>
  <c r="N625" i="5" s="1"/>
  <c r="G619" i="5"/>
  <c r="M619" i="5" s="1"/>
  <c r="N619" i="5" s="1"/>
  <c r="G618" i="5"/>
  <c r="M618" i="5" s="1"/>
  <c r="N618" i="5" s="1"/>
  <c r="G617" i="5"/>
  <c r="M617" i="5" s="1"/>
  <c r="N617" i="5" s="1"/>
  <c r="G318" i="5" l="1"/>
  <c r="M318" i="5" s="1"/>
  <c r="G317" i="5"/>
  <c r="M317" i="5" s="1"/>
  <c r="G316" i="5"/>
  <c r="M316" i="5" s="1"/>
  <c r="G315" i="5"/>
  <c r="M315" i="5" s="1"/>
  <c r="G314" i="5"/>
  <c r="M314" i="5" s="1"/>
  <c r="G313" i="5"/>
  <c r="M313" i="5" s="1"/>
  <c r="G312" i="5"/>
  <c r="M312" i="5" s="1"/>
  <c r="G311" i="5"/>
  <c r="M311" i="5" s="1"/>
  <c r="G310" i="5"/>
  <c r="M310" i="5" s="1"/>
  <c r="G309" i="5"/>
  <c r="M309" i="5" s="1"/>
  <c r="G308" i="5"/>
  <c r="M308" i="5" s="1"/>
  <c r="G307" i="5"/>
  <c r="M307" i="5" s="1"/>
  <c r="G306" i="5"/>
  <c r="M306" i="5" s="1"/>
  <c r="G305" i="5"/>
  <c r="M305" i="5" s="1"/>
  <c r="G304" i="5"/>
  <c r="M304" i="5" s="1"/>
  <c r="G303" i="5"/>
  <c r="M303" i="5" s="1"/>
  <c r="G302" i="5"/>
  <c r="M302" i="5" s="1"/>
  <c r="G301" i="5"/>
  <c r="M301" i="5" s="1"/>
  <c r="G300" i="5"/>
  <c r="M300" i="5" s="1"/>
  <c r="G299" i="5"/>
  <c r="M299" i="5" s="1"/>
  <c r="G298" i="5"/>
  <c r="M298" i="5" s="1"/>
  <c r="G297" i="5"/>
  <c r="M297" i="5" s="1"/>
  <c r="G296" i="5"/>
  <c r="M296" i="5" s="1"/>
  <c r="G295" i="5"/>
  <c r="M295" i="5" s="1"/>
  <c r="G294" i="5"/>
  <c r="M294" i="5" s="1"/>
  <c r="G293" i="5"/>
  <c r="M293" i="5" s="1"/>
  <c r="G292" i="5"/>
  <c r="M292" i="5" s="1"/>
  <c r="G291" i="5"/>
  <c r="M291" i="5" s="1"/>
  <c r="G290" i="5"/>
  <c r="M290" i="5" s="1"/>
  <c r="G289" i="5"/>
  <c r="M289" i="5" s="1"/>
  <c r="G288" i="5"/>
  <c r="M288" i="5" s="1"/>
  <c r="G287" i="5"/>
  <c r="M287" i="5" s="1"/>
  <c r="G286" i="5"/>
  <c r="M286" i="5" s="1"/>
  <c r="G285" i="5"/>
  <c r="M285" i="5" s="1"/>
  <c r="G284" i="5"/>
  <c r="M284" i="5" s="1"/>
  <c r="G283" i="5"/>
  <c r="M283" i="5" s="1"/>
  <c r="G282" i="5"/>
  <c r="M282" i="5" s="1"/>
  <c r="G281" i="5"/>
  <c r="M281" i="5" s="1"/>
  <c r="G280" i="5"/>
  <c r="M280" i="5" s="1"/>
  <c r="G279" i="5"/>
  <c r="M279" i="5" s="1"/>
  <c r="G278" i="5"/>
  <c r="M278" i="5" s="1"/>
  <c r="G277" i="5"/>
  <c r="M277" i="5" s="1"/>
  <c r="G276" i="5"/>
  <c r="M276" i="5" s="1"/>
  <c r="K318" i="5"/>
  <c r="K313" i="5"/>
  <c r="K310" i="5"/>
  <c r="K309" i="5"/>
  <c r="K308" i="5"/>
  <c r="K307" i="5"/>
  <c r="K305" i="5"/>
  <c r="K304" i="5"/>
  <c r="K302" i="5"/>
  <c r="K301" i="5"/>
  <c r="K300" i="5"/>
  <c r="K299" i="5"/>
  <c r="K298" i="5"/>
  <c r="K297" i="5"/>
  <c r="K296" i="5"/>
  <c r="K295" i="5"/>
  <c r="K294" i="5"/>
  <c r="K293" i="5"/>
  <c r="K292" i="5"/>
  <c r="K291" i="5"/>
  <c r="K290" i="5"/>
  <c r="K289" i="5"/>
  <c r="K288" i="5"/>
  <c r="K285" i="5"/>
  <c r="K284" i="5"/>
  <c r="K283" i="5"/>
  <c r="K282" i="5"/>
  <c r="H312" i="5"/>
  <c r="K312" i="5" s="1"/>
  <c r="H311" i="5"/>
  <c r="K311" i="5" s="1"/>
  <c r="H306" i="5"/>
  <c r="K306" i="5" s="1"/>
  <c r="H303" i="5"/>
  <c r="K303" i="5" s="1"/>
  <c r="H286" i="5"/>
  <c r="K286" i="5" s="1"/>
  <c r="H287" i="5"/>
  <c r="K287" i="5" s="1"/>
  <c r="H281" i="5"/>
  <c r="K281" i="5" s="1"/>
  <c r="H317" i="5"/>
  <c r="K317" i="5" s="1"/>
  <c r="H316" i="5"/>
  <c r="K316" i="5" s="1"/>
  <c r="H315" i="5"/>
  <c r="K315" i="5" s="1"/>
  <c r="H314" i="5"/>
  <c r="K314" i="5" s="1"/>
  <c r="K279" i="5"/>
  <c r="K278" i="5"/>
  <c r="H280" i="5"/>
  <c r="I277" i="5"/>
  <c r="K277" i="5" s="1"/>
  <c r="I276" i="5"/>
  <c r="K276" i="5" s="1"/>
  <c r="N285" i="5" l="1"/>
  <c r="N278" i="5"/>
  <c r="N277" i="5"/>
  <c r="N280" i="5"/>
  <c r="N288" i="5"/>
  <c r="N296" i="5"/>
  <c r="N293" i="5"/>
  <c r="N317" i="5"/>
  <c r="N289" i="5"/>
  <c r="N305" i="5"/>
  <c r="N282" i="5"/>
  <c r="N283" i="5"/>
  <c r="N284" i="5"/>
  <c r="N291" i="5"/>
  <c r="N308" i="5"/>
  <c r="N304" i="5"/>
  <c r="N299" i="5"/>
  <c r="N307" i="5"/>
  <c r="N315" i="5"/>
  <c r="N294" i="5"/>
  <c r="N302" i="5"/>
  <c r="N318" i="5"/>
  <c r="N312" i="5"/>
  <c r="N301" i="5"/>
  <c r="N279" i="5"/>
  <c r="N287" i="5"/>
  <c r="N295" i="5"/>
  <c r="N303" i="5"/>
  <c r="N311" i="5"/>
  <c r="N316" i="5"/>
  <c r="N281" i="5"/>
  <c r="N297" i="5"/>
  <c r="N313" i="5"/>
  <c r="N298" i="5"/>
  <c r="N306" i="5"/>
  <c r="N314" i="5"/>
  <c r="N309" i="5"/>
  <c r="N300" i="5"/>
  <c r="N310" i="5"/>
  <c r="N286" i="5"/>
  <c r="N290" i="5"/>
  <c r="N276" i="5"/>
  <c r="N292" i="5"/>
  <c r="K697" i="5"/>
  <c r="G697" i="5"/>
  <c r="M697" i="5" s="1"/>
  <c r="N697" i="5" s="1"/>
  <c r="G744" i="5"/>
  <c r="M744" i="5" s="1"/>
  <c r="N744" i="5" s="1"/>
  <c r="H744" i="5"/>
  <c r="K744" i="5" s="1"/>
  <c r="G634" i="5" l="1"/>
  <c r="M634" i="5" s="1"/>
  <c r="K742" i="5"/>
  <c r="K741" i="5"/>
  <c r="K740" i="5"/>
  <c r="K739" i="5"/>
  <c r="K737" i="5"/>
  <c r="K736" i="5"/>
  <c r="K735" i="5"/>
  <c r="K734" i="5"/>
  <c r="K733" i="5"/>
  <c r="K732" i="5"/>
  <c r="K731" i="5"/>
  <c r="G743" i="5"/>
  <c r="M743" i="5" s="1"/>
  <c r="N743" i="5" s="1"/>
  <c r="G742" i="5"/>
  <c r="M742" i="5" s="1"/>
  <c r="N742" i="5" s="1"/>
  <c r="G741" i="5"/>
  <c r="M741" i="5" s="1"/>
  <c r="N741" i="5" s="1"/>
  <c r="G740" i="5"/>
  <c r="M740" i="5" s="1"/>
  <c r="N740" i="5" s="1"/>
  <c r="G739" i="5"/>
  <c r="M739" i="5" s="1"/>
  <c r="N739" i="5" s="1"/>
  <c r="G738" i="5"/>
  <c r="M738" i="5" s="1"/>
  <c r="N738" i="5" s="1"/>
  <c r="G737" i="5"/>
  <c r="M737" i="5" s="1"/>
  <c r="N737" i="5" s="1"/>
  <c r="G736" i="5"/>
  <c r="M736" i="5" s="1"/>
  <c r="N736" i="5" s="1"/>
  <c r="G735" i="5"/>
  <c r="M735" i="5" s="1"/>
  <c r="N735" i="5" s="1"/>
  <c r="G734" i="5"/>
  <c r="M734" i="5" s="1"/>
  <c r="N734" i="5" s="1"/>
  <c r="G733" i="5"/>
  <c r="M733" i="5" s="1"/>
  <c r="N733" i="5" s="1"/>
  <c r="G732" i="5"/>
  <c r="M732" i="5" s="1"/>
  <c r="N732" i="5" s="1"/>
  <c r="G731" i="5"/>
  <c r="M731" i="5" s="1"/>
  <c r="N731" i="5" s="1"/>
  <c r="H743" i="5"/>
  <c r="K743" i="5" s="1"/>
  <c r="H738" i="5"/>
  <c r="K738" i="5" s="1"/>
  <c r="Y46" i="1"/>
  <c r="Y45" i="1"/>
  <c r="Y44" i="1"/>
  <c r="Y43" i="1"/>
  <c r="Y42" i="1"/>
  <c r="Y41" i="1"/>
  <c r="Y40" i="1"/>
  <c r="Y39" i="1"/>
  <c r="Y38" i="1"/>
  <c r="Y37" i="1"/>
  <c r="Y36" i="1"/>
  <c r="Y35" i="1"/>
  <c r="Y34" i="1"/>
  <c r="Y33" i="1"/>
  <c r="Y32" i="1"/>
  <c r="Y31" i="1"/>
  <c r="Y30" i="1"/>
  <c r="Y29" i="1"/>
  <c r="Y28" i="1"/>
  <c r="Y27" i="1"/>
  <c r="Y26" i="1"/>
  <c r="Y25" i="1"/>
  <c r="Y24" i="1"/>
  <c r="Y23" i="1"/>
  <c r="Y22" i="1"/>
  <c r="Y21" i="1"/>
  <c r="Y20" i="1"/>
  <c r="Y19" i="1"/>
  <c r="Y18" i="1"/>
  <c r="Y17" i="1"/>
  <c r="Y16" i="1"/>
  <c r="Y15" i="1"/>
  <c r="Y14" i="1"/>
  <c r="Y13" i="1"/>
  <c r="Y12" i="1"/>
  <c r="Y11" i="1"/>
  <c r="Y10" i="1"/>
  <c r="Y9" i="1"/>
  <c r="Y8" i="1"/>
  <c r="Y7" i="1"/>
  <c r="Y6" i="1"/>
  <c r="Y5" i="1"/>
  <c r="Y4" i="1"/>
  <c r="S35" i="1"/>
  <c r="K730" i="5"/>
  <c r="K729" i="5"/>
  <c r="K728" i="5"/>
  <c r="K727" i="5"/>
  <c r="K726" i="5"/>
  <c r="K725" i="5"/>
  <c r="K724" i="5"/>
  <c r="K723" i="5"/>
  <c r="K722" i="5"/>
  <c r="K721" i="5"/>
  <c r="K720" i="5"/>
  <c r="K719" i="5"/>
  <c r="K718" i="5"/>
  <c r="K717" i="5"/>
  <c r="K716" i="5"/>
  <c r="K715" i="5"/>
  <c r="K714" i="5"/>
  <c r="K713" i="5"/>
  <c r="K712" i="5"/>
  <c r="K711" i="5"/>
  <c r="K708" i="5"/>
  <c r="K707" i="5"/>
  <c r="K700" i="5"/>
  <c r="K699" i="5"/>
  <c r="H705" i="5"/>
  <c r="K705" i="5" s="1"/>
  <c r="G730" i="5"/>
  <c r="M730" i="5" s="1"/>
  <c r="N730" i="5" s="1"/>
  <c r="G729" i="5"/>
  <c r="M729" i="5" s="1"/>
  <c r="N729" i="5" s="1"/>
  <c r="G728" i="5"/>
  <c r="M728" i="5" s="1"/>
  <c r="N728" i="5" s="1"/>
  <c r="G727" i="5"/>
  <c r="M727" i="5" s="1"/>
  <c r="N727" i="5" s="1"/>
  <c r="G726" i="5"/>
  <c r="M726" i="5" s="1"/>
  <c r="N726" i="5" s="1"/>
  <c r="G725" i="5"/>
  <c r="M725" i="5" s="1"/>
  <c r="N725" i="5" s="1"/>
  <c r="G724" i="5"/>
  <c r="M724" i="5" s="1"/>
  <c r="N724" i="5" s="1"/>
  <c r="G723" i="5"/>
  <c r="M723" i="5" s="1"/>
  <c r="N723" i="5" s="1"/>
  <c r="G722" i="5"/>
  <c r="M722" i="5" s="1"/>
  <c r="N722" i="5" s="1"/>
  <c r="G721" i="5"/>
  <c r="M721" i="5" s="1"/>
  <c r="N721" i="5" s="1"/>
  <c r="G720" i="5"/>
  <c r="M720" i="5" s="1"/>
  <c r="N720" i="5" s="1"/>
  <c r="G719" i="5"/>
  <c r="M719" i="5" s="1"/>
  <c r="N719" i="5" s="1"/>
  <c r="G718" i="5"/>
  <c r="M718" i="5" s="1"/>
  <c r="N718" i="5" s="1"/>
  <c r="G717" i="5"/>
  <c r="M717" i="5" s="1"/>
  <c r="N717" i="5" s="1"/>
  <c r="G716" i="5"/>
  <c r="M716" i="5" s="1"/>
  <c r="G715" i="5"/>
  <c r="M715" i="5" s="1"/>
  <c r="N715" i="5" s="1"/>
  <c r="G714" i="5"/>
  <c r="M714" i="5" s="1"/>
  <c r="N714" i="5" s="1"/>
  <c r="G713" i="5"/>
  <c r="M713" i="5" s="1"/>
  <c r="N713" i="5" s="1"/>
  <c r="G712" i="5"/>
  <c r="M712" i="5" s="1"/>
  <c r="N712" i="5" s="1"/>
  <c r="G711" i="5"/>
  <c r="M711" i="5" s="1"/>
  <c r="N711" i="5" s="1"/>
  <c r="G710" i="5"/>
  <c r="M710" i="5" s="1"/>
  <c r="N710" i="5" s="1"/>
  <c r="G709" i="5"/>
  <c r="M709" i="5" s="1"/>
  <c r="N709" i="5" s="1"/>
  <c r="G708" i="5"/>
  <c r="M708" i="5" s="1"/>
  <c r="N708" i="5" s="1"/>
  <c r="G707" i="5"/>
  <c r="M707" i="5" s="1"/>
  <c r="N707" i="5" s="1"/>
  <c r="G706" i="5"/>
  <c r="M706" i="5" s="1"/>
  <c r="N706" i="5" s="1"/>
  <c r="G705" i="5"/>
  <c r="M705" i="5" s="1"/>
  <c r="N705" i="5" s="1"/>
  <c r="G704" i="5"/>
  <c r="M704" i="5" s="1"/>
  <c r="N704" i="5" s="1"/>
  <c r="G703" i="5"/>
  <c r="M703" i="5" s="1"/>
  <c r="N703" i="5" s="1"/>
  <c r="G702" i="5"/>
  <c r="M702" i="5" s="1"/>
  <c r="N702" i="5" s="1"/>
  <c r="G701" i="5"/>
  <c r="M701" i="5" s="1"/>
  <c r="N701" i="5" s="1"/>
  <c r="G700" i="5"/>
  <c r="M700" i="5" s="1"/>
  <c r="N700" i="5" s="1"/>
  <c r="G699" i="5"/>
  <c r="M699" i="5" s="1"/>
  <c r="N699" i="5" s="1"/>
  <c r="G698" i="5"/>
  <c r="M698" i="5" s="1"/>
  <c r="N698" i="5" s="1"/>
  <c r="H710" i="5"/>
  <c r="K710" i="5" s="1"/>
  <c r="H704" i="5"/>
  <c r="K704" i="5" s="1"/>
  <c r="H701" i="5"/>
  <c r="K701" i="5" s="1"/>
  <c r="H706" i="5"/>
  <c r="K706" i="5" s="1"/>
  <c r="H702" i="5"/>
  <c r="K702" i="5" s="1"/>
  <c r="H698" i="5"/>
  <c r="K698" i="5" s="1"/>
  <c r="H709" i="5"/>
  <c r="K709" i="5" s="1"/>
  <c r="H703" i="5"/>
  <c r="K703" i="5" s="1"/>
  <c r="N634" i="5" l="1"/>
  <c r="N716" i="5"/>
  <c r="K646" i="5"/>
  <c r="K645" i="5"/>
  <c r="K644" i="5"/>
  <c r="K643" i="5"/>
  <c r="K642" i="5"/>
  <c r="K641" i="5"/>
  <c r="G648" i="5"/>
  <c r="M648" i="5" s="1"/>
  <c r="N648" i="5" s="1"/>
  <c r="G646" i="5"/>
  <c r="M646" i="5" s="1"/>
  <c r="N646" i="5" s="1"/>
  <c r="G645" i="5"/>
  <c r="M645" i="5" s="1"/>
  <c r="N645" i="5" s="1"/>
  <c r="G644" i="5"/>
  <c r="M644" i="5" s="1"/>
  <c r="N644" i="5" s="1"/>
  <c r="G643" i="5"/>
  <c r="M643" i="5" s="1"/>
  <c r="N643" i="5" s="1"/>
  <c r="G642" i="5"/>
  <c r="M642" i="5" s="1"/>
  <c r="N642" i="5" s="1"/>
  <c r="G641" i="5"/>
  <c r="M641" i="5" s="1"/>
  <c r="N641" i="5" s="1"/>
  <c r="G640" i="5"/>
  <c r="M640" i="5" s="1"/>
  <c r="N640" i="5" s="1"/>
  <c r="G639" i="5"/>
  <c r="M639" i="5" s="1"/>
  <c r="N639" i="5" s="1"/>
  <c r="G638" i="5"/>
  <c r="M638" i="5" s="1"/>
  <c r="N638" i="5" s="1"/>
  <c r="G637" i="5"/>
  <c r="M637" i="5" s="1"/>
  <c r="N637" i="5" s="1"/>
  <c r="G631" i="5"/>
  <c r="M631" i="5" s="1"/>
  <c r="N631" i="5" s="1"/>
  <c r="G628" i="5"/>
  <c r="M628" i="5" s="1"/>
  <c r="N628" i="5" s="1"/>
  <c r="G627" i="5"/>
  <c r="M627" i="5" s="1"/>
  <c r="N627" i="5" s="1"/>
  <c r="G624" i="5"/>
  <c r="M624" i="5" s="1"/>
  <c r="N624" i="5" s="1"/>
  <c r="G623" i="5"/>
  <c r="M623" i="5" s="1"/>
  <c r="N623" i="5" s="1"/>
  <c r="G622" i="5"/>
  <c r="M622" i="5" s="1"/>
  <c r="N622" i="5" s="1"/>
  <c r="G621" i="5"/>
  <c r="M621" i="5" s="1"/>
  <c r="N621" i="5" s="1"/>
  <c r="G620" i="5"/>
  <c r="M620" i="5" s="1"/>
  <c r="N620" i="5" s="1"/>
  <c r="H648" i="5"/>
  <c r="K648" i="5" s="1"/>
  <c r="AF109" i="1"/>
  <c r="AH109" i="1" s="1"/>
  <c r="AJ190" i="1"/>
  <c r="AJ189" i="1"/>
  <c r="AJ188" i="1"/>
  <c r="AJ187" i="1"/>
  <c r="AJ186" i="1"/>
  <c r="AJ185" i="1"/>
  <c r="AJ184" i="1"/>
  <c r="AJ183" i="1"/>
  <c r="AJ182" i="1"/>
  <c r="AJ181" i="1"/>
  <c r="AJ180" i="1"/>
  <c r="AJ179" i="1"/>
  <c r="AJ178" i="1"/>
  <c r="AJ177" i="1"/>
  <c r="AJ176" i="1"/>
  <c r="AJ175" i="1"/>
  <c r="AJ174" i="1"/>
  <c r="AJ173" i="1"/>
  <c r="AJ172" i="1"/>
  <c r="AJ171" i="1"/>
  <c r="AJ170" i="1"/>
  <c r="AJ169" i="1"/>
  <c r="AJ168" i="1"/>
  <c r="AJ167" i="1"/>
  <c r="AJ166" i="1"/>
  <c r="AJ165" i="1"/>
  <c r="AJ164" i="1"/>
  <c r="AJ163" i="1"/>
  <c r="AJ162" i="1"/>
  <c r="AJ161" i="1"/>
  <c r="AJ160" i="1"/>
  <c r="AJ159" i="1"/>
  <c r="AJ158" i="1"/>
  <c r="AJ157" i="1"/>
  <c r="AJ156" i="1"/>
  <c r="AJ155" i="1"/>
  <c r="AJ154" i="1"/>
  <c r="AJ153" i="1"/>
  <c r="AJ152" i="1"/>
  <c r="AJ151" i="1"/>
  <c r="AJ150" i="1"/>
  <c r="AJ149" i="1"/>
  <c r="AJ148" i="1"/>
  <c r="AJ147" i="1"/>
  <c r="AJ146" i="1"/>
  <c r="AJ145" i="1"/>
  <c r="AJ144" i="1"/>
  <c r="AJ143" i="1"/>
  <c r="AJ142" i="1"/>
  <c r="AJ141" i="1"/>
  <c r="AJ140" i="1"/>
  <c r="AJ139" i="1"/>
  <c r="AJ138" i="1"/>
  <c r="AJ137" i="1"/>
  <c r="AJ136" i="1"/>
  <c r="AJ135" i="1"/>
  <c r="AJ134" i="1"/>
  <c r="AJ133" i="1"/>
  <c r="AJ132" i="1"/>
  <c r="AJ131" i="1"/>
  <c r="AJ130" i="1"/>
  <c r="AJ129" i="1"/>
  <c r="AJ128" i="1"/>
  <c r="AJ127" i="1"/>
  <c r="AJ126" i="1"/>
  <c r="AJ125" i="1"/>
  <c r="AJ124" i="1"/>
  <c r="AJ123" i="1"/>
  <c r="AJ122" i="1"/>
  <c r="AJ121" i="1"/>
  <c r="AJ120" i="1"/>
  <c r="AJ119" i="1"/>
  <c r="AJ118" i="1"/>
  <c r="AJ117" i="1"/>
  <c r="AJ116" i="1"/>
  <c r="AJ115" i="1"/>
  <c r="AJ114" i="1"/>
  <c r="AJ113" i="1"/>
  <c r="AJ112" i="1"/>
  <c r="AJ111" i="1"/>
  <c r="AJ110" i="1"/>
  <c r="AJ109" i="1"/>
  <c r="AJ108" i="1"/>
  <c r="AJ107" i="1"/>
  <c r="AJ106" i="1"/>
  <c r="AJ105" i="1"/>
  <c r="AJ104" i="1"/>
  <c r="AJ103" i="1"/>
  <c r="AJ102" i="1"/>
  <c r="AJ101" i="1"/>
  <c r="AJ100" i="1"/>
  <c r="AJ99" i="1"/>
  <c r="AJ98" i="1"/>
  <c r="AJ97" i="1"/>
  <c r="AJ96" i="1"/>
  <c r="AJ95" i="1"/>
  <c r="AJ94" i="1"/>
  <c r="AJ93" i="1"/>
  <c r="AJ92" i="1"/>
  <c r="AJ91" i="1"/>
  <c r="AJ90" i="1"/>
  <c r="AJ89" i="1"/>
  <c r="AJ88" i="1"/>
  <c r="AJ87" i="1"/>
  <c r="AJ86" i="1"/>
  <c r="AJ85" i="1"/>
  <c r="AJ84" i="1"/>
  <c r="AJ83" i="1"/>
  <c r="AJ82" i="1"/>
  <c r="AJ81" i="1"/>
  <c r="AJ80" i="1"/>
  <c r="AJ79" i="1"/>
  <c r="AJ78" i="1"/>
  <c r="AJ77" i="1"/>
  <c r="AJ76" i="1"/>
  <c r="AJ75" i="1"/>
  <c r="AJ74" i="1"/>
  <c r="AJ73" i="1"/>
  <c r="AJ72" i="1"/>
  <c r="AJ71" i="1"/>
  <c r="AJ70" i="1"/>
  <c r="AJ69" i="1"/>
  <c r="AJ68" i="1"/>
  <c r="AJ67" i="1"/>
  <c r="AJ66" i="1"/>
  <c r="AJ65" i="1"/>
  <c r="AJ64" i="1"/>
  <c r="AJ63" i="1"/>
  <c r="AJ62" i="1"/>
  <c r="AJ61" i="1"/>
  <c r="AJ60" i="1"/>
  <c r="AJ59" i="1"/>
  <c r="AJ58" i="1"/>
  <c r="AJ57" i="1"/>
  <c r="AJ56" i="1"/>
  <c r="AJ55" i="1"/>
  <c r="AJ54" i="1"/>
  <c r="AJ53" i="1"/>
  <c r="AJ52" i="1"/>
  <c r="AJ51" i="1"/>
  <c r="AJ50" i="1"/>
  <c r="AJ49" i="1"/>
  <c r="AJ48" i="1"/>
  <c r="AJ47" i="1"/>
  <c r="AJ46" i="1"/>
  <c r="AJ45" i="1"/>
  <c r="AJ44" i="1"/>
  <c r="AJ43" i="1"/>
  <c r="AJ42" i="1"/>
  <c r="AJ41" i="1"/>
  <c r="AJ40" i="1"/>
  <c r="AJ39" i="1"/>
  <c r="AJ38" i="1"/>
  <c r="AJ37" i="1"/>
  <c r="AJ36" i="1"/>
  <c r="AJ35" i="1"/>
  <c r="AJ34" i="1"/>
  <c r="AJ33" i="1"/>
  <c r="AJ32" i="1"/>
  <c r="AJ31" i="1"/>
  <c r="AJ30" i="1"/>
  <c r="AJ29" i="1"/>
  <c r="AJ28" i="1"/>
  <c r="AJ27" i="1"/>
  <c r="AJ26" i="1"/>
  <c r="AJ25" i="1"/>
  <c r="AJ24" i="1"/>
  <c r="AJ23" i="1"/>
  <c r="AJ22" i="1"/>
  <c r="AJ21" i="1"/>
  <c r="AJ20" i="1"/>
  <c r="AJ19" i="1"/>
  <c r="AJ18" i="1"/>
  <c r="AJ17" i="1"/>
  <c r="AJ16" i="1"/>
  <c r="AJ15" i="1"/>
  <c r="AJ14" i="1"/>
  <c r="AJ13" i="1"/>
  <c r="AJ12" i="1"/>
  <c r="AJ11" i="1"/>
  <c r="AJ10" i="1"/>
  <c r="AJ9" i="1"/>
  <c r="AJ8" i="1"/>
  <c r="AJ7" i="1"/>
  <c r="AJ6" i="1"/>
  <c r="AJ5" i="1"/>
  <c r="AI190" i="1"/>
  <c r="AI189" i="1"/>
  <c r="AI188" i="1"/>
  <c r="AI187" i="1"/>
  <c r="AI186" i="1"/>
  <c r="AI185" i="1"/>
  <c r="AI184" i="1"/>
  <c r="AI183" i="1"/>
  <c r="AI182" i="1"/>
  <c r="AI181" i="1"/>
  <c r="AI180" i="1"/>
  <c r="AI179" i="1"/>
  <c r="AI178" i="1"/>
  <c r="AI177" i="1"/>
  <c r="AI176" i="1"/>
  <c r="AI175" i="1"/>
  <c r="AI174" i="1"/>
  <c r="AI173" i="1"/>
  <c r="AI172" i="1"/>
  <c r="AI171" i="1"/>
  <c r="AI170" i="1"/>
  <c r="AI169" i="1"/>
  <c r="AI168" i="1"/>
  <c r="AI167" i="1"/>
  <c r="AI166" i="1"/>
  <c r="AI165" i="1"/>
  <c r="AI164" i="1"/>
  <c r="AI163" i="1"/>
  <c r="AI162" i="1"/>
  <c r="AI161" i="1"/>
  <c r="AI160" i="1"/>
  <c r="AI159" i="1"/>
  <c r="AI158" i="1"/>
  <c r="AI157" i="1"/>
  <c r="AI156" i="1"/>
  <c r="AI155" i="1"/>
  <c r="AI154" i="1"/>
  <c r="AI153" i="1"/>
  <c r="AI152" i="1"/>
  <c r="AI151" i="1"/>
  <c r="AI150" i="1"/>
  <c r="AI149" i="1"/>
  <c r="AI148" i="1"/>
  <c r="AI147" i="1"/>
  <c r="AI146" i="1"/>
  <c r="AI145" i="1"/>
  <c r="AI144" i="1"/>
  <c r="AI143" i="1"/>
  <c r="AI142" i="1"/>
  <c r="AI141" i="1"/>
  <c r="AI140" i="1"/>
  <c r="AI139" i="1"/>
  <c r="AI138" i="1"/>
  <c r="AI137" i="1"/>
  <c r="AI136" i="1"/>
  <c r="AI135" i="1"/>
  <c r="AI134" i="1"/>
  <c r="AI133" i="1"/>
  <c r="AI132" i="1"/>
  <c r="AI131" i="1"/>
  <c r="AI130" i="1"/>
  <c r="AI129" i="1"/>
  <c r="AI128" i="1"/>
  <c r="AI127" i="1"/>
  <c r="AI126" i="1"/>
  <c r="AI125" i="1"/>
  <c r="AI124" i="1"/>
  <c r="AI123" i="1"/>
  <c r="AI122" i="1"/>
  <c r="AI121" i="1"/>
  <c r="AI120" i="1"/>
  <c r="AI119" i="1"/>
  <c r="AI118" i="1"/>
  <c r="AI117" i="1"/>
  <c r="AI116" i="1"/>
  <c r="AI115" i="1"/>
  <c r="AI114" i="1"/>
  <c r="AI113" i="1"/>
  <c r="AI112" i="1"/>
  <c r="AI111" i="1"/>
  <c r="AI110" i="1"/>
  <c r="AI109" i="1"/>
  <c r="AI108" i="1"/>
  <c r="AI107" i="1"/>
  <c r="AI106" i="1"/>
  <c r="AI105" i="1"/>
  <c r="AI104" i="1"/>
  <c r="AI103" i="1"/>
  <c r="AI102" i="1"/>
  <c r="AI101" i="1"/>
  <c r="AI100" i="1"/>
  <c r="AI99" i="1"/>
  <c r="AI98" i="1"/>
  <c r="AI97" i="1"/>
  <c r="AI96" i="1"/>
  <c r="AI95" i="1"/>
  <c r="AI94" i="1"/>
  <c r="AI93" i="1"/>
  <c r="AI92" i="1"/>
  <c r="AI91" i="1"/>
  <c r="AI90" i="1"/>
  <c r="AI89" i="1"/>
  <c r="AI88" i="1"/>
  <c r="AI87" i="1"/>
  <c r="AI86" i="1"/>
  <c r="AI85" i="1"/>
  <c r="AI84" i="1"/>
  <c r="AI83" i="1"/>
  <c r="AI82" i="1"/>
  <c r="AI81" i="1"/>
  <c r="AI80" i="1"/>
  <c r="AI79" i="1"/>
  <c r="AI78" i="1"/>
  <c r="AI77" i="1"/>
  <c r="AI76" i="1"/>
  <c r="AI75" i="1"/>
  <c r="AI74" i="1"/>
  <c r="AI73" i="1"/>
  <c r="AI72" i="1"/>
  <c r="AI71" i="1"/>
  <c r="AI70" i="1"/>
  <c r="AI69" i="1"/>
  <c r="AI68" i="1"/>
  <c r="AI67" i="1"/>
  <c r="AI66" i="1"/>
  <c r="AI65" i="1"/>
  <c r="AI64" i="1"/>
  <c r="AI63" i="1"/>
  <c r="AI62" i="1"/>
  <c r="AI61" i="1"/>
  <c r="AI60" i="1"/>
  <c r="AI59" i="1"/>
  <c r="AI58" i="1"/>
  <c r="AI57" i="1"/>
  <c r="AI56" i="1"/>
  <c r="AI55" i="1"/>
  <c r="AI54" i="1"/>
  <c r="AI53" i="1"/>
  <c r="AI52" i="1"/>
  <c r="AI51" i="1"/>
  <c r="AI50" i="1"/>
  <c r="AI49" i="1"/>
  <c r="AI48" i="1"/>
  <c r="AI47" i="1"/>
  <c r="AI46" i="1"/>
  <c r="AI45" i="1"/>
  <c r="AI44" i="1"/>
  <c r="AI43" i="1"/>
  <c r="AI42" i="1"/>
  <c r="AI41" i="1"/>
  <c r="AI40" i="1"/>
  <c r="AI39" i="1"/>
  <c r="AI38" i="1"/>
  <c r="AI37" i="1"/>
  <c r="AI36" i="1"/>
  <c r="AI35" i="1"/>
  <c r="AI34" i="1"/>
  <c r="AI33" i="1"/>
  <c r="AI32" i="1"/>
  <c r="AI31" i="1"/>
  <c r="AI30" i="1"/>
  <c r="AI29" i="1"/>
  <c r="AI28" i="1"/>
  <c r="AI27" i="1"/>
  <c r="AI26" i="1"/>
  <c r="AI25" i="1"/>
  <c r="AI24" i="1"/>
  <c r="AI23" i="1"/>
  <c r="AI22" i="1"/>
  <c r="AI21" i="1"/>
  <c r="AI20" i="1"/>
  <c r="AI19" i="1"/>
  <c r="AI18" i="1"/>
  <c r="AI17" i="1"/>
  <c r="AI16" i="1"/>
  <c r="AI15" i="1"/>
  <c r="AI14" i="1"/>
  <c r="AI13" i="1"/>
  <c r="AI12" i="1"/>
  <c r="AI11" i="1"/>
  <c r="AI10" i="1"/>
  <c r="AI9" i="1"/>
  <c r="AI8" i="1"/>
  <c r="AI7" i="1"/>
  <c r="AI6" i="1"/>
  <c r="AI5" i="1"/>
  <c r="AI4" i="1"/>
  <c r="G613" i="5"/>
  <c r="M613" i="5" s="1"/>
  <c r="CQ35" i="1" l="1"/>
  <c r="CQ34" i="1"/>
  <c r="CQ33" i="1"/>
  <c r="CQ32" i="1"/>
  <c r="CQ31" i="1"/>
  <c r="CQ30" i="1"/>
  <c r="CQ29" i="1"/>
  <c r="CQ28" i="1"/>
  <c r="CQ27" i="1"/>
  <c r="CQ26" i="1"/>
  <c r="CQ25" i="1"/>
  <c r="CQ24" i="1"/>
  <c r="CQ23" i="1"/>
  <c r="CQ22" i="1"/>
  <c r="CQ21" i="1"/>
  <c r="CQ20" i="1"/>
  <c r="CQ19" i="1"/>
  <c r="CQ18" i="1"/>
  <c r="CQ17" i="1"/>
  <c r="CQ16" i="1"/>
  <c r="CQ15" i="1"/>
  <c r="CQ14" i="1"/>
  <c r="CQ13" i="1"/>
  <c r="CQ12" i="1"/>
  <c r="CQ11" i="1"/>
  <c r="CQ10" i="1"/>
  <c r="CQ9" i="1"/>
  <c r="CQ8" i="1"/>
  <c r="CQ7" i="1"/>
  <c r="CQ6" i="1"/>
  <c r="CQ4" i="1"/>
  <c r="CQ5" i="1"/>
  <c r="G612" i="5"/>
  <c r="M612" i="5" s="1"/>
  <c r="G611" i="5"/>
  <c r="M611" i="5" s="1"/>
  <c r="G610" i="5"/>
  <c r="M610" i="5" s="1"/>
  <c r="G609" i="5"/>
  <c r="M609" i="5" s="1"/>
  <c r="G608" i="5"/>
  <c r="M608" i="5" s="1"/>
  <c r="G607" i="5"/>
  <c r="M607" i="5" s="1"/>
  <c r="G606" i="5"/>
  <c r="M606" i="5" s="1"/>
  <c r="CP35" i="1"/>
  <c r="CP34" i="1"/>
  <c r="CP33" i="1"/>
  <c r="CP32" i="1"/>
  <c r="CP31" i="1"/>
  <c r="CP30" i="1"/>
  <c r="CP29" i="1"/>
  <c r="CP28" i="1"/>
  <c r="CP27" i="1"/>
  <c r="CP26" i="1"/>
  <c r="CP25" i="1"/>
  <c r="CP24" i="1"/>
  <c r="CP23" i="1"/>
  <c r="CP22" i="1"/>
  <c r="CP21" i="1"/>
  <c r="CP20" i="1"/>
  <c r="CP19" i="1"/>
  <c r="CP18" i="1"/>
  <c r="CP17" i="1"/>
  <c r="CP16" i="1"/>
  <c r="CP15" i="1"/>
  <c r="CP14" i="1"/>
  <c r="CP13" i="1"/>
  <c r="CP12" i="1"/>
  <c r="CP11" i="1"/>
  <c r="CP10" i="1"/>
  <c r="CP9" i="1"/>
  <c r="CP8" i="1"/>
  <c r="CP7" i="1"/>
  <c r="CP6" i="1"/>
  <c r="CP4" i="1"/>
  <c r="CP5" i="1"/>
  <c r="H607" i="5"/>
  <c r="K607" i="5" s="1"/>
  <c r="H569" i="5"/>
  <c r="K569" i="5" s="1"/>
  <c r="H564" i="5"/>
  <c r="K564" i="5" s="1"/>
  <c r="H562" i="5"/>
  <c r="K562" i="5" s="1"/>
  <c r="H560" i="5"/>
  <c r="K560" i="5" s="1"/>
  <c r="N609" i="5" l="1"/>
  <c r="N610" i="5"/>
  <c r="N613" i="5"/>
  <c r="N612" i="5"/>
  <c r="N611" i="5"/>
  <c r="N607" i="5"/>
  <c r="N606" i="5"/>
  <c r="N608" i="5"/>
  <c r="N563" i="5"/>
  <c r="N564" i="5"/>
  <c r="N565" i="5"/>
  <c r="N566" i="5"/>
  <c r="N568" i="5"/>
  <c r="N561" i="5"/>
  <c r="N569" i="5"/>
  <c r="N559" i="5"/>
  <c r="N562" i="5"/>
  <c r="N570" i="5"/>
  <c r="N560" i="5"/>
  <c r="N567" i="5"/>
  <c r="H503" i="5"/>
  <c r="K503" i="5" s="1"/>
  <c r="K504" i="5"/>
  <c r="K502" i="5"/>
  <c r="K501" i="5"/>
  <c r="K498" i="5"/>
  <c r="K497" i="5"/>
  <c r="K496" i="5"/>
  <c r="K495" i="5"/>
  <c r="K494" i="5"/>
  <c r="K493" i="5"/>
  <c r="K492" i="5"/>
  <c r="K491" i="5"/>
  <c r="K490" i="5"/>
  <c r="K489" i="5"/>
  <c r="K488" i="5"/>
  <c r="K487" i="5"/>
  <c r="K486" i="5"/>
  <c r="K485" i="5"/>
  <c r="K484" i="5"/>
  <c r="K483" i="5"/>
  <c r="K482" i="5"/>
  <c r="K480" i="5"/>
  <c r="K478" i="5"/>
  <c r="K477" i="5"/>
  <c r="K476" i="5"/>
  <c r="K475" i="5"/>
  <c r="K474" i="5"/>
  <c r="K473" i="5"/>
  <c r="K472" i="5"/>
  <c r="K471" i="5"/>
  <c r="G504" i="5"/>
  <c r="M504" i="5" s="1"/>
  <c r="G503" i="5"/>
  <c r="M503" i="5" s="1"/>
  <c r="G502" i="5"/>
  <c r="M502" i="5" s="1"/>
  <c r="G501" i="5"/>
  <c r="M501" i="5" s="1"/>
  <c r="G500" i="5"/>
  <c r="M500" i="5" s="1"/>
  <c r="G499" i="5"/>
  <c r="M499" i="5" s="1"/>
  <c r="G498" i="5"/>
  <c r="M498" i="5" s="1"/>
  <c r="G497" i="5"/>
  <c r="M497" i="5" s="1"/>
  <c r="G496" i="5"/>
  <c r="M496" i="5" s="1"/>
  <c r="G495" i="5"/>
  <c r="M495" i="5" s="1"/>
  <c r="G494" i="5"/>
  <c r="M494" i="5" s="1"/>
  <c r="G493" i="5"/>
  <c r="M493" i="5" s="1"/>
  <c r="G492" i="5"/>
  <c r="M492" i="5" s="1"/>
  <c r="G491" i="5"/>
  <c r="M491" i="5" s="1"/>
  <c r="G490" i="5"/>
  <c r="M490" i="5" s="1"/>
  <c r="G489" i="5"/>
  <c r="M489" i="5" s="1"/>
  <c r="G488" i="5"/>
  <c r="M488" i="5" s="1"/>
  <c r="G487" i="5"/>
  <c r="M487" i="5" s="1"/>
  <c r="G486" i="5"/>
  <c r="M486" i="5" s="1"/>
  <c r="G485" i="5"/>
  <c r="M485" i="5" s="1"/>
  <c r="G484" i="5"/>
  <c r="M484" i="5" s="1"/>
  <c r="G483" i="5"/>
  <c r="M483" i="5" s="1"/>
  <c r="G482" i="5"/>
  <c r="M482" i="5" s="1"/>
  <c r="G481" i="5"/>
  <c r="M481" i="5" s="1"/>
  <c r="G480" i="5"/>
  <c r="M480" i="5" s="1"/>
  <c r="G479" i="5"/>
  <c r="M479" i="5" s="1"/>
  <c r="G478" i="5"/>
  <c r="M478" i="5" s="1"/>
  <c r="G477" i="5"/>
  <c r="M477" i="5" s="1"/>
  <c r="G476" i="5"/>
  <c r="M476" i="5" s="1"/>
  <c r="G475" i="5"/>
  <c r="M475" i="5" s="1"/>
  <c r="G474" i="5"/>
  <c r="M474" i="5" s="1"/>
  <c r="G473" i="5"/>
  <c r="M473" i="5" s="1"/>
  <c r="G472" i="5"/>
  <c r="M472" i="5" s="1"/>
  <c r="G471" i="5"/>
  <c r="M471" i="5" s="1"/>
  <c r="H479" i="5"/>
  <c r="K479" i="5" s="1"/>
  <c r="H500" i="5"/>
  <c r="K500" i="5" s="1"/>
  <c r="H499" i="5"/>
  <c r="K499" i="5" s="1"/>
  <c r="H481" i="5"/>
  <c r="K481" i="5" s="1"/>
  <c r="K470" i="5"/>
  <c r="G470" i="5"/>
  <c r="M470" i="5" s="1"/>
  <c r="H3" i="6"/>
  <c r="D5" i="6"/>
  <c r="C5" i="6"/>
  <c r="E4" i="6"/>
  <c r="D4" i="6"/>
  <c r="C4" i="6"/>
  <c r="B4" i="6"/>
  <c r="A5" i="6"/>
  <c r="E5" i="6" s="1"/>
  <c r="A6" i="6" l="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G4" i="6"/>
  <c r="H4" i="6" s="1"/>
  <c r="B5" i="6"/>
  <c r="G5" i="6" s="1"/>
  <c r="H5" i="6" s="1"/>
  <c r="N473" i="5"/>
  <c r="N505" i="5"/>
  <c r="N506" i="5"/>
  <c r="N470" i="5"/>
  <c r="N475" i="5"/>
  <c r="N491" i="5"/>
  <c r="N483" i="5"/>
  <c r="N499" i="5"/>
  <c r="N471" i="5"/>
  <c r="N479" i="5"/>
  <c r="N487" i="5"/>
  <c r="N495" i="5"/>
  <c r="N503" i="5"/>
  <c r="N472" i="5"/>
  <c r="N480" i="5"/>
  <c r="N488" i="5"/>
  <c r="N496" i="5"/>
  <c r="N504" i="5"/>
  <c r="N481" i="5"/>
  <c r="N489" i="5"/>
  <c r="N497" i="5"/>
  <c r="N474" i="5"/>
  <c r="N482" i="5"/>
  <c r="N490" i="5"/>
  <c r="N498" i="5"/>
  <c r="N476" i="5"/>
  <c r="N492" i="5"/>
  <c r="N485" i="5"/>
  <c r="N493" i="5"/>
  <c r="N501" i="5"/>
  <c r="N484" i="5"/>
  <c r="N500" i="5"/>
  <c r="N477" i="5"/>
  <c r="N478" i="5"/>
  <c r="N486" i="5"/>
  <c r="N494" i="5"/>
  <c r="N502" i="5"/>
  <c r="C7" i="6"/>
  <c r="G456" i="5"/>
  <c r="M456" i="5" s="1"/>
  <c r="G455" i="5"/>
  <c r="M455" i="5" s="1"/>
  <c r="G454" i="5"/>
  <c r="M454" i="5" s="1"/>
  <c r="G453" i="5"/>
  <c r="M453" i="5" s="1"/>
  <c r="G452" i="5"/>
  <c r="M452" i="5" s="1"/>
  <c r="G451" i="5"/>
  <c r="M451" i="5" s="1"/>
  <c r="G450" i="5"/>
  <c r="M450" i="5" s="1"/>
  <c r="G449" i="5"/>
  <c r="M449" i="5" s="1"/>
  <c r="G448" i="5"/>
  <c r="M448" i="5" s="1"/>
  <c r="G447" i="5"/>
  <c r="M447" i="5" s="1"/>
  <c r="G446" i="5"/>
  <c r="M446" i="5" s="1"/>
  <c r="G445" i="5"/>
  <c r="M445" i="5" s="1"/>
  <c r="G444" i="5"/>
  <c r="M444" i="5" s="1"/>
  <c r="G443" i="5"/>
  <c r="M443" i="5" s="1"/>
  <c r="G442" i="5"/>
  <c r="G441" i="5"/>
  <c r="M441" i="5" s="1"/>
  <c r="G440" i="5"/>
  <c r="M440" i="5" s="1"/>
  <c r="G439" i="5"/>
  <c r="M439" i="5" s="1"/>
  <c r="G438" i="5"/>
  <c r="M438" i="5" s="1"/>
  <c r="G437" i="5"/>
  <c r="M437" i="5" s="1"/>
  <c r="G436" i="5"/>
  <c r="M436" i="5" s="1"/>
  <c r="G435" i="5"/>
  <c r="M435" i="5" s="1"/>
  <c r="K456" i="5"/>
  <c r="K455" i="5"/>
  <c r="K454" i="5"/>
  <c r="K453" i="5"/>
  <c r="K452" i="5"/>
  <c r="K451" i="5"/>
  <c r="K450" i="5"/>
  <c r="K449" i="5"/>
  <c r="K448" i="5"/>
  <c r="K447" i="5"/>
  <c r="K446" i="5"/>
  <c r="K445" i="5"/>
  <c r="K444" i="5"/>
  <c r="K443" i="5"/>
  <c r="H442" i="5"/>
  <c r="K442" i="5" s="1"/>
  <c r="K441" i="5"/>
  <c r="K440" i="5"/>
  <c r="K439" i="5"/>
  <c r="K437" i="5"/>
  <c r="K436" i="5"/>
  <c r="K435" i="5"/>
  <c r="K434" i="5"/>
  <c r="H438" i="5"/>
  <c r="K438" i="5" s="1"/>
  <c r="G434" i="5"/>
  <c r="M434" i="5" s="1"/>
  <c r="K433" i="5"/>
  <c r="G433" i="5"/>
  <c r="M433" i="5" s="1"/>
  <c r="C9" i="6" l="1"/>
  <c r="B27" i="6"/>
  <c r="B19" i="6"/>
  <c r="D16" i="6"/>
  <c r="B30" i="6"/>
  <c r="B11" i="6"/>
  <c r="B10" i="6"/>
  <c r="E6" i="6"/>
  <c r="B16" i="6"/>
  <c r="D11" i="6"/>
  <c r="E13" i="6"/>
  <c r="E10" i="6"/>
  <c r="C30" i="6"/>
  <c r="D23" i="6"/>
  <c r="E15" i="6"/>
  <c r="B25" i="6"/>
  <c r="C12" i="6"/>
  <c r="C16" i="6"/>
  <c r="E20" i="6"/>
  <c r="C14" i="6"/>
  <c r="B26" i="6"/>
  <c r="B8" i="6"/>
  <c r="C8" i="6"/>
  <c r="D30" i="6"/>
  <c r="E25" i="6"/>
  <c r="B17" i="6"/>
  <c r="E27" i="6"/>
  <c r="C24" i="6"/>
  <c r="C6" i="6"/>
  <c r="D8" i="6"/>
  <c r="B22" i="6"/>
  <c r="E30" i="6"/>
  <c r="B12" i="6"/>
  <c r="E14" i="6"/>
  <c r="E18" i="6"/>
  <c r="E16" i="6"/>
  <c r="B21" i="6"/>
  <c r="C11" i="6"/>
  <c r="D7" i="6"/>
  <c r="C23" i="6"/>
  <c r="B9" i="6"/>
  <c r="C25" i="6"/>
  <c r="C13" i="6"/>
  <c r="B24" i="6"/>
  <c r="B23" i="6"/>
  <c r="B13" i="6"/>
  <c r="D10" i="6"/>
  <c r="B20" i="6"/>
  <c r="C19" i="6"/>
  <c r="D9" i="6"/>
  <c r="D13" i="6"/>
  <c r="E8" i="6"/>
  <c r="D20" i="6"/>
  <c r="C28" i="6"/>
  <c r="D22" i="6"/>
  <c r="B29" i="6"/>
  <c r="B15" i="6"/>
  <c r="B14" i="6"/>
  <c r="C29" i="6"/>
  <c r="E12" i="6"/>
  <c r="C18" i="6"/>
  <c r="D28" i="6"/>
  <c r="E17" i="6"/>
  <c r="D25" i="6"/>
  <c r="E19" i="6"/>
  <c r="E28" i="6"/>
  <c r="B7" i="6"/>
  <c r="B6" i="6"/>
  <c r="D26" i="6"/>
  <c r="B18" i="6"/>
  <c r="D15" i="6"/>
  <c r="D19" i="6"/>
  <c r="C17" i="6"/>
  <c r="D12" i="6"/>
  <c r="C20" i="6"/>
  <c r="D14" i="6"/>
  <c r="E24" i="6"/>
  <c r="C27" i="6"/>
  <c r="E26" i="6"/>
  <c r="C21" i="6"/>
  <c r="B28" i="6"/>
  <c r="E21" i="6"/>
  <c r="D6" i="6"/>
  <c r="C26" i="6"/>
  <c r="C15" i="6"/>
  <c r="E22" i="6"/>
  <c r="D27" i="6"/>
  <c r="E29" i="6"/>
  <c r="D29" i="6"/>
  <c r="E23" i="6"/>
  <c r="C10" i="6"/>
  <c r="E9" i="6"/>
  <c r="G9" i="6" s="1"/>
  <c r="H9" i="6" s="1"/>
  <c r="D17" i="6"/>
  <c r="E11" i="6"/>
  <c r="C22" i="6"/>
  <c r="G22" i="6" s="1"/>
  <c r="H22" i="6" s="1"/>
  <c r="D24" i="6"/>
  <c r="D21" i="6"/>
  <c r="D18" i="6"/>
  <c r="E7" i="6"/>
  <c r="N432" i="5"/>
  <c r="M442" i="5"/>
  <c r="N442" i="5" s="1"/>
  <c r="N451" i="5"/>
  <c r="G12" i="6"/>
  <c r="H12" i="6" s="1"/>
  <c r="A32" i="6"/>
  <c r="C31" i="6"/>
  <c r="D31" i="6"/>
  <c r="B31" i="6"/>
  <c r="E31" i="6"/>
  <c r="N443" i="5"/>
  <c r="N453" i="5"/>
  <c r="N454" i="5"/>
  <c r="N455" i="5"/>
  <c r="N434" i="5"/>
  <c r="N452" i="5"/>
  <c r="N435" i="5"/>
  <c r="N444" i="5"/>
  <c r="N437" i="5"/>
  <c r="N447" i="5"/>
  <c r="N446" i="5"/>
  <c r="N438" i="5"/>
  <c r="N448" i="5"/>
  <c r="N456" i="5"/>
  <c r="N439" i="5"/>
  <c r="N449" i="5"/>
  <c r="N436" i="5"/>
  <c r="N445" i="5"/>
  <c r="N440" i="5"/>
  <c r="N450" i="5"/>
  <c r="N433" i="5"/>
  <c r="N441" i="5"/>
  <c r="G321" i="5"/>
  <c r="M321" i="5" s="1"/>
  <c r="G320" i="5"/>
  <c r="M320" i="5" s="1"/>
  <c r="G431" i="5"/>
  <c r="M431" i="5" s="1"/>
  <c r="G430" i="5"/>
  <c r="M430" i="5" s="1"/>
  <c r="G429" i="5"/>
  <c r="M429" i="5" s="1"/>
  <c r="G428" i="5"/>
  <c r="M428" i="5" s="1"/>
  <c r="G427" i="5"/>
  <c r="M427" i="5" s="1"/>
  <c r="G426" i="5"/>
  <c r="M426" i="5" s="1"/>
  <c r="G425" i="5"/>
  <c r="M425" i="5" s="1"/>
  <c r="G424" i="5"/>
  <c r="M424" i="5" s="1"/>
  <c r="G423" i="5"/>
  <c r="M423" i="5" s="1"/>
  <c r="G422" i="5"/>
  <c r="M422" i="5" s="1"/>
  <c r="G421" i="5"/>
  <c r="M421" i="5" s="1"/>
  <c r="G420" i="5"/>
  <c r="M420" i="5" s="1"/>
  <c r="G419" i="5"/>
  <c r="M419" i="5" s="1"/>
  <c r="G418" i="5"/>
  <c r="M418" i="5" s="1"/>
  <c r="G417" i="5"/>
  <c r="G416" i="5"/>
  <c r="M416" i="5" s="1"/>
  <c r="G415" i="5"/>
  <c r="M415" i="5" s="1"/>
  <c r="G414" i="5"/>
  <c r="M414" i="5" s="1"/>
  <c r="G413" i="5"/>
  <c r="M413" i="5" s="1"/>
  <c r="G412" i="5"/>
  <c r="M412" i="5" s="1"/>
  <c r="G411" i="5"/>
  <c r="M411" i="5" s="1"/>
  <c r="G410" i="5"/>
  <c r="M410" i="5" s="1"/>
  <c r="G409" i="5"/>
  <c r="G408" i="5"/>
  <c r="M408" i="5" s="1"/>
  <c r="G407" i="5"/>
  <c r="M407" i="5" s="1"/>
  <c r="G406" i="5"/>
  <c r="M406" i="5" s="1"/>
  <c r="G405" i="5"/>
  <c r="M405" i="5" s="1"/>
  <c r="G404" i="5"/>
  <c r="M404" i="5" s="1"/>
  <c r="G403" i="5"/>
  <c r="M403" i="5" s="1"/>
  <c r="G402" i="5"/>
  <c r="M402" i="5" s="1"/>
  <c r="G401" i="5"/>
  <c r="G400" i="5"/>
  <c r="M400" i="5" s="1"/>
  <c r="G399" i="5"/>
  <c r="M399" i="5" s="1"/>
  <c r="G398" i="5"/>
  <c r="M398" i="5" s="1"/>
  <c r="G397" i="5"/>
  <c r="M397" i="5" s="1"/>
  <c r="G396" i="5"/>
  <c r="M396" i="5" s="1"/>
  <c r="G395" i="5"/>
  <c r="M395" i="5" s="1"/>
  <c r="G394" i="5"/>
  <c r="M394" i="5" s="1"/>
  <c r="G393" i="5"/>
  <c r="G392" i="5"/>
  <c r="M392" i="5" s="1"/>
  <c r="G391" i="5"/>
  <c r="M391" i="5" s="1"/>
  <c r="G390" i="5"/>
  <c r="M390" i="5" s="1"/>
  <c r="G389" i="5"/>
  <c r="M389" i="5" s="1"/>
  <c r="G388" i="5"/>
  <c r="M388" i="5" s="1"/>
  <c r="G387" i="5"/>
  <c r="M387" i="5" s="1"/>
  <c r="G386" i="5"/>
  <c r="M386" i="5" s="1"/>
  <c r="G385" i="5"/>
  <c r="G384" i="5"/>
  <c r="M384" i="5" s="1"/>
  <c r="G383" i="5"/>
  <c r="M383" i="5" s="1"/>
  <c r="G382" i="5"/>
  <c r="M382" i="5" s="1"/>
  <c r="G381" i="5"/>
  <c r="M381" i="5" s="1"/>
  <c r="G380" i="5"/>
  <c r="M380" i="5" s="1"/>
  <c r="G379" i="5"/>
  <c r="M379" i="5" s="1"/>
  <c r="G378" i="5"/>
  <c r="M378" i="5" s="1"/>
  <c r="G377" i="5"/>
  <c r="G376" i="5"/>
  <c r="M376" i="5" s="1"/>
  <c r="G375" i="5"/>
  <c r="M375" i="5" s="1"/>
  <c r="G374" i="5"/>
  <c r="M374" i="5" s="1"/>
  <c r="G373" i="5"/>
  <c r="M373" i="5" s="1"/>
  <c r="G372" i="5"/>
  <c r="M372" i="5" s="1"/>
  <c r="G371" i="5"/>
  <c r="M371" i="5" s="1"/>
  <c r="G370" i="5"/>
  <c r="M370" i="5" s="1"/>
  <c r="G339" i="5"/>
  <c r="M339" i="5" s="1"/>
  <c r="G338" i="5"/>
  <c r="M338" i="5" s="1"/>
  <c r="G337" i="5"/>
  <c r="M337" i="5" s="1"/>
  <c r="G336" i="5"/>
  <c r="M336" i="5" s="1"/>
  <c r="G335" i="5"/>
  <c r="M335" i="5" s="1"/>
  <c r="G334" i="5"/>
  <c r="M334" i="5" s="1"/>
  <c r="G333" i="5"/>
  <c r="M333" i="5" s="1"/>
  <c r="G332" i="5"/>
  <c r="M332" i="5" s="1"/>
  <c r="G331" i="5"/>
  <c r="M331" i="5" s="1"/>
  <c r="G330" i="5"/>
  <c r="M330" i="5" s="1"/>
  <c r="G329" i="5"/>
  <c r="M329" i="5" s="1"/>
  <c r="G328" i="5"/>
  <c r="M328" i="5" s="1"/>
  <c r="G327" i="5"/>
  <c r="M327" i="5" s="1"/>
  <c r="G326" i="5"/>
  <c r="M326" i="5" s="1"/>
  <c r="G325" i="5"/>
  <c r="M325" i="5" s="1"/>
  <c r="G324" i="5"/>
  <c r="M324" i="5" s="1"/>
  <c r="G323" i="5"/>
  <c r="M323" i="5" s="1"/>
  <c r="G322" i="5"/>
  <c r="M322" i="5" s="1"/>
  <c r="G275" i="5"/>
  <c r="M275" i="5" s="1"/>
  <c r="G223" i="5"/>
  <c r="M223" i="5" s="1"/>
  <c r="G222" i="5"/>
  <c r="M222" i="5" s="1"/>
  <c r="G221" i="5"/>
  <c r="M221" i="5" s="1"/>
  <c r="G220" i="5"/>
  <c r="M220" i="5" s="1"/>
  <c r="G219" i="5"/>
  <c r="M219" i="5" s="1"/>
  <c r="G218" i="5"/>
  <c r="M218" i="5" s="1"/>
  <c r="G217" i="5"/>
  <c r="M217" i="5" s="1"/>
  <c r="G216" i="5"/>
  <c r="M216" i="5" s="1"/>
  <c r="G215" i="5"/>
  <c r="M215" i="5" s="1"/>
  <c r="G214" i="5"/>
  <c r="M214" i="5" s="1"/>
  <c r="G213" i="5"/>
  <c r="M213" i="5" s="1"/>
  <c r="G212" i="5"/>
  <c r="M212" i="5" s="1"/>
  <c r="G211" i="5"/>
  <c r="M211" i="5" s="1"/>
  <c r="N211" i="5" s="1"/>
  <c r="G210" i="5"/>
  <c r="M210" i="5" s="1"/>
  <c r="N210" i="5" s="1"/>
  <c r="G208" i="5"/>
  <c r="M208" i="5" s="1"/>
  <c r="N208" i="5" s="1"/>
  <c r="G207" i="5"/>
  <c r="M207" i="5" s="1"/>
  <c r="N207" i="5" s="1"/>
  <c r="G198" i="5"/>
  <c r="M198" i="5" s="1"/>
  <c r="N198" i="5" s="1"/>
  <c r="G181" i="5"/>
  <c r="G178" i="5"/>
  <c r="M178" i="5" s="1"/>
  <c r="G176" i="5"/>
  <c r="M176" i="5" s="1"/>
  <c r="G167" i="5"/>
  <c r="M167" i="5" s="1"/>
  <c r="N167" i="5" s="1"/>
  <c r="G149" i="5"/>
  <c r="M149" i="5" s="1"/>
  <c r="G148" i="5"/>
  <c r="M148" i="5" s="1"/>
  <c r="M147" i="5"/>
  <c r="M146" i="5"/>
  <c r="M145" i="5"/>
  <c r="G108" i="5"/>
  <c r="M108" i="5" s="1"/>
  <c r="G102" i="5"/>
  <c r="M102" i="5" s="1"/>
  <c r="G92" i="5"/>
  <c r="M92" i="5" s="1"/>
  <c r="G89" i="5"/>
  <c r="M89" i="5" s="1"/>
  <c r="G85" i="5"/>
  <c r="M85" i="5" s="1"/>
  <c r="G82" i="5"/>
  <c r="M82" i="5" s="1"/>
  <c r="G81" i="5"/>
  <c r="M81" i="5" s="1"/>
  <c r="G73" i="5"/>
  <c r="M73" i="5" s="1"/>
  <c r="G72" i="5"/>
  <c r="M72" i="5" s="1"/>
  <c r="G64" i="5"/>
  <c r="M64" i="5" s="1"/>
  <c r="G54" i="5"/>
  <c r="M54" i="5" s="1"/>
  <c r="G53" i="5"/>
  <c r="M53" i="5" s="1"/>
  <c r="N53" i="5" s="1"/>
  <c r="G52" i="5"/>
  <c r="M52" i="5" s="1"/>
  <c r="N52" i="5" s="1"/>
  <c r="G51" i="5"/>
  <c r="M51" i="5" s="1"/>
  <c r="N51" i="5" s="1"/>
  <c r="G50" i="5"/>
  <c r="M50" i="5" s="1"/>
  <c r="N50" i="5" s="1"/>
  <c r="G49" i="5"/>
  <c r="M49" i="5" s="1"/>
  <c r="N49" i="5" s="1"/>
  <c r="G48" i="5"/>
  <c r="M48" i="5" s="1"/>
  <c r="N48" i="5" s="1"/>
  <c r="G47" i="5"/>
  <c r="M47" i="5" s="1"/>
  <c r="N47" i="5" s="1"/>
  <c r="G46" i="5"/>
  <c r="M46" i="5" s="1"/>
  <c r="N46" i="5" s="1"/>
  <c r="G45" i="5"/>
  <c r="M45" i="5" s="1"/>
  <c r="N45" i="5" s="1"/>
  <c r="G44" i="5"/>
  <c r="M44" i="5" s="1"/>
  <c r="N44" i="5" s="1"/>
  <c r="G43" i="5"/>
  <c r="M43" i="5" s="1"/>
  <c r="N43" i="5" s="1"/>
  <c r="G42" i="5"/>
  <c r="M42" i="5" s="1"/>
  <c r="N42" i="5" s="1"/>
  <c r="G41" i="5"/>
  <c r="M41" i="5" s="1"/>
  <c r="N41" i="5" s="1"/>
  <c r="G40" i="5"/>
  <c r="M40" i="5" s="1"/>
  <c r="N40" i="5" s="1"/>
  <c r="G39" i="5"/>
  <c r="M39" i="5" s="1"/>
  <c r="N39" i="5" s="1"/>
  <c r="G38" i="5"/>
  <c r="M38" i="5" s="1"/>
  <c r="N38" i="5" s="1"/>
  <c r="G37" i="5"/>
  <c r="M37" i="5" s="1"/>
  <c r="N37" i="5" s="1"/>
  <c r="G36" i="5"/>
  <c r="M36" i="5" s="1"/>
  <c r="N36" i="5" s="1"/>
  <c r="G35" i="5"/>
  <c r="M35" i="5" s="1"/>
  <c r="N35" i="5" s="1"/>
  <c r="G34" i="5"/>
  <c r="M34" i="5" s="1"/>
  <c r="N34" i="5" s="1"/>
  <c r="G33" i="5"/>
  <c r="M33" i="5" s="1"/>
  <c r="N33" i="5" s="1"/>
  <c r="G31" i="5"/>
  <c r="M31" i="5" s="1"/>
  <c r="N31" i="5" s="1"/>
  <c r="G30" i="5"/>
  <c r="M30" i="5" s="1"/>
  <c r="N30" i="5" s="1"/>
  <c r="G29" i="5"/>
  <c r="M29" i="5" s="1"/>
  <c r="N29" i="5" s="1"/>
  <c r="G20" i="5"/>
  <c r="M20" i="5" s="1"/>
  <c r="G19" i="5"/>
  <c r="M19" i="5" s="1"/>
  <c r="G18" i="5"/>
  <c r="M18" i="5" s="1"/>
  <c r="G17" i="5"/>
  <c r="M17" i="5" s="1"/>
  <c r="G16" i="5"/>
  <c r="M16" i="5" s="1"/>
  <c r="G15" i="5"/>
  <c r="M15" i="5" s="1"/>
  <c r="G14" i="5"/>
  <c r="M14" i="5" s="1"/>
  <c r="G13" i="5"/>
  <c r="M13" i="5" s="1"/>
  <c r="G12" i="5"/>
  <c r="M12" i="5" s="1"/>
  <c r="G11" i="5"/>
  <c r="M11" i="5" s="1"/>
  <c r="G10" i="5"/>
  <c r="M10" i="5" s="1"/>
  <c r="G9" i="5"/>
  <c r="M9" i="5" s="1"/>
  <c r="G8" i="5"/>
  <c r="M8" i="5" s="1"/>
  <c r="K431" i="5"/>
  <c r="K430" i="5"/>
  <c r="K429" i="5"/>
  <c r="K428" i="5"/>
  <c r="K427" i="5"/>
  <c r="K426" i="5"/>
  <c r="K425" i="5"/>
  <c r="K424" i="5"/>
  <c r="K423" i="5"/>
  <c r="K422" i="5"/>
  <c r="K421" i="5"/>
  <c r="K420" i="5"/>
  <c r="K419" i="5"/>
  <c r="K418" i="5"/>
  <c r="K417" i="5"/>
  <c r="K416" i="5"/>
  <c r="K414" i="5"/>
  <c r="K413" i="5"/>
  <c r="K412" i="5"/>
  <c r="K411" i="5"/>
  <c r="K410" i="5"/>
  <c r="K409" i="5"/>
  <c r="K408" i="5"/>
  <c r="K407" i="5"/>
  <c r="K406" i="5"/>
  <c r="K405" i="5"/>
  <c r="K404" i="5"/>
  <c r="K403" i="5"/>
  <c r="K402" i="5"/>
  <c r="K401" i="5"/>
  <c r="K400" i="5"/>
  <c r="K399" i="5"/>
  <c r="K398" i="5"/>
  <c r="K397" i="5"/>
  <c r="K396" i="5"/>
  <c r="K395" i="5"/>
  <c r="K394" i="5"/>
  <c r="K393" i="5"/>
  <c r="K392" i="5"/>
  <c r="K391" i="5"/>
  <c r="K390" i="5"/>
  <c r="K389" i="5"/>
  <c r="K388" i="5"/>
  <c r="K387" i="5"/>
  <c r="K386" i="5"/>
  <c r="K385" i="5"/>
  <c r="K384" i="5"/>
  <c r="K383" i="5"/>
  <c r="K382" i="5"/>
  <c r="K381" i="5"/>
  <c r="K380" i="5"/>
  <c r="K379" i="5"/>
  <c r="K378" i="5"/>
  <c r="K377" i="5"/>
  <c r="K376" i="5"/>
  <c r="K375" i="5"/>
  <c r="K374" i="5"/>
  <c r="K373" i="5"/>
  <c r="K371" i="5"/>
  <c r="K370" i="5"/>
  <c r="K339" i="5"/>
  <c r="K338" i="5"/>
  <c r="K337" i="5"/>
  <c r="K336" i="5"/>
  <c r="K333" i="5"/>
  <c r="K332" i="5"/>
  <c r="K331" i="5"/>
  <c r="K330" i="5"/>
  <c r="K328" i="5"/>
  <c r="K327" i="5"/>
  <c r="K326" i="5"/>
  <c r="K325" i="5"/>
  <c r="K323" i="5"/>
  <c r="K322" i="5"/>
  <c r="K321" i="5"/>
  <c r="K320" i="5"/>
  <c r="K280" i="5"/>
  <c r="K275" i="5"/>
  <c r="K223" i="5"/>
  <c r="K219" i="5"/>
  <c r="K218" i="5"/>
  <c r="K217" i="5"/>
  <c r="K215" i="5"/>
  <c r="K214" i="5"/>
  <c r="K213" i="5"/>
  <c r="K212" i="5"/>
  <c r="K207" i="5"/>
  <c r="K149" i="5"/>
  <c r="K148" i="5"/>
  <c r="K147" i="5"/>
  <c r="K146" i="5"/>
  <c r="K145" i="5"/>
  <c r="K108" i="5"/>
  <c r="K102" i="5"/>
  <c r="K92" i="5"/>
  <c r="K89" i="5"/>
  <c r="K85" i="5"/>
  <c r="K82" i="5"/>
  <c r="K81" i="5"/>
  <c r="K73" i="5"/>
  <c r="K72" i="5"/>
  <c r="K54" i="5"/>
  <c r="K53" i="5"/>
  <c r="K48" i="5"/>
  <c r="K47" i="5"/>
  <c r="K46" i="5"/>
  <c r="K44" i="5"/>
  <c r="K43" i="5"/>
  <c r="K42" i="5"/>
  <c r="K40" i="5"/>
  <c r="K39" i="5"/>
  <c r="K38" i="5"/>
  <c r="K31" i="5"/>
  <c r="K30" i="5"/>
  <c r="K29" i="5"/>
  <c r="K20" i="5"/>
  <c r="K19" i="5"/>
  <c r="K18" i="5"/>
  <c r="K17" i="5"/>
  <c r="K16" i="5"/>
  <c r="K15" i="5"/>
  <c r="K14" i="5"/>
  <c r="K13" i="5"/>
  <c r="K12" i="5"/>
  <c r="K11" i="5"/>
  <c r="K10" i="5"/>
  <c r="K9" i="5"/>
  <c r="K8" i="5"/>
  <c r="K7" i="5"/>
  <c r="K5" i="5"/>
  <c r="K4" i="5"/>
  <c r="K3" i="5"/>
  <c r="K2" i="5"/>
  <c r="K6" i="5"/>
  <c r="H415" i="5"/>
  <c r="K415" i="5" s="1"/>
  <c r="G6" i="6" l="1"/>
  <c r="H6" i="6" s="1"/>
  <c r="G24" i="6"/>
  <c r="H24" i="6" s="1"/>
  <c r="G20" i="6"/>
  <c r="H20" i="6" s="1"/>
  <c r="G11" i="6"/>
  <c r="H11" i="6" s="1"/>
  <c r="G18" i="6"/>
  <c r="H18" i="6" s="1"/>
  <c r="G14" i="6"/>
  <c r="H14" i="6" s="1"/>
  <c r="G13" i="6"/>
  <c r="H13" i="6" s="1"/>
  <c r="G8" i="6"/>
  <c r="H8" i="6" s="1"/>
  <c r="G28" i="6"/>
  <c r="H28" i="6" s="1"/>
  <c r="G23" i="6"/>
  <c r="H23" i="6" s="1"/>
  <c r="G29" i="6"/>
  <c r="H29" i="6" s="1"/>
  <c r="G25" i="6"/>
  <c r="H25" i="6" s="1"/>
  <c r="G15" i="6"/>
  <c r="H15" i="6" s="1"/>
  <c r="G17" i="6"/>
  <c r="H17" i="6" s="1"/>
  <c r="G19" i="6"/>
  <c r="H19" i="6" s="1"/>
  <c r="G30" i="6"/>
  <c r="H30" i="6" s="1"/>
  <c r="G26" i="6"/>
  <c r="H26" i="6" s="1"/>
  <c r="G7" i="6"/>
  <c r="H7" i="6" s="1"/>
  <c r="G21" i="6"/>
  <c r="H21" i="6" s="1"/>
  <c r="G16" i="6"/>
  <c r="H16" i="6" s="1"/>
  <c r="G10" i="6"/>
  <c r="H10" i="6" s="1"/>
  <c r="G27" i="6"/>
  <c r="H27" i="6" s="1"/>
  <c r="M377" i="5"/>
  <c r="N377" i="5" s="1"/>
  <c r="M385" i="5"/>
  <c r="N385" i="5" s="1"/>
  <c r="M393" i="5"/>
  <c r="N393" i="5" s="1"/>
  <c r="M401" i="5"/>
  <c r="N401" i="5" s="1"/>
  <c r="M409" i="5"/>
  <c r="N409" i="5" s="1"/>
  <c r="M417" i="5"/>
  <c r="N417" i="5" s="1"/>
  <c r="M181" i="5"/>
  <c r="N359" i="5"/>
  <c r="N351" i="5"/>
  <c r="N354" i="5"/>
  <c r="N362" i="5"/>
  <c r="N352" i="5"/>
  <c r="N367" i="5"/>
  <c r="N368" i="5"/>
  <c r="N356" i="5"/>
  <c r="N366" i="5"/>
  <c r="N365" i="5"/>
  <c r="N360" i="5"/>
  <c r="N348" i="5"/>
  <c r="N353" i="5"/>
  <c r="N364" i="5"/>
  <c r="N361" i="5"/>
  <c r="N358" i="5"/>
  <c r="N369" i="5"/>
  <c r="N349" i="5"/>
  <c r="N355" i="5"/>
  <c r="N357" i="5"/>
  <c r="N363" i="5"/>
  <c r="N350" i="5"/>
  <c r="N372" i="5"/>
  <c r="N396" i="5"/>
  <c r="N404" i="5"/>
  <c r="N412" i="5"/>
  <c r="N429" i="5"/>
  <c r="N420" i="5"/>
  <c r="N370" i="5"/>
  <c r="N378" i="5"/>
  <c r="N386" i="5"/>
  <c r="N394" i="5"/>
  <c r="N402" i="5"/>
  <c r="N410" i="5"/>
  <c r="N418" i="5"/>
  <c r="N426" i="5"/>
  <c r="N388" i="5"/>
  <c r="N380" i="5"/>
  <c r="N371" i="5"/>
  <c r="N379" i="5"/>
  <c r="N387" i="5"/>
  <c r="N395" i="5"/>
  <c r="N403" i="5"/>
  <c r="N411" i="5"/>
  <c r="N419" i="5"/>
  <c r="N427" i="5"/>
  <c r="N428" i="5"/>
  <c r="N373" i="5"/>
  <c r="N381" i="5"/>
  <c r="N389" i="5"/>
  <c r="N397" i="5"/>
  <c r="N405" i="5"/>
  <c r="N413" i="5"/>
  <c r="N421" i="5"/>
  <c r="N374" i="5"/>
  <c r="N382" i="5"/>
  <c r="N390" i="5"/>
  <c r="N398" i="5"/>
  <c r="N406" i="5"/>
  <c r="N414" i="5"/>
  <c r="N422" i="5"/>
  <c r="N430" i="5"/>
  <c r="N375" i="5"/>
  <c r="N383" i="5"/>
  <c r="N391" i="5"/>
  <c r="N399" i="5"/>
  <c r="N407" i="5"/>
  <c r="N415" i="5"/>
  <c r="N423" i="5"/>
  <c r="N431" i="5"/>
  <c r="N376" i="5"/>
  <c r="N384" i="5"/>
  <c r="N392" i="5"/>
  <c r="N400" i="5"/>
  <c r="N408" i="5"/>
  <c r="N416" i="5"/>
  <c r="G31" i="6"/>
  <c r="H31" i="6" s="1"/>
  <c r="A33" i="6"/>
  <c r="A34" i="6" s="1"/>
  <c r="E32" i="6"/>
  <c r="B32" i="6"/>
  <c r="D32" i="6"/>
  <c r="C32" i="6"/>
  <c r="H372" i="5"/>
  <c r="K372" i="5" s="1"/>
  <c r="N425" i="5"/>
  <c r="G32" i="6" l="1"/>
  <c r="H32" i="6" s="1"/>
  <c r="E34" i="6"/>
  <c r="D34" i="6"/>
  <c r="C34" i="6"/>
  <c r="A35" i="6"/>
  <c r="B34" i="6"/>
  <c r="E33" i="6"/>
  <c r="D33" i="6"/>
  <c r="C33" i="6"/>
  <c r="B33" i="6"/>
  <c r="N424" i="5"/>
  <c r="N331" i="5"/>
  <c r="N323" i="5"/>
  <c r="H335" i="5"/>
  <c r="K335" i="5" s="1"/>
  <c r="H334" i="5"/>
  <c r="K334" i="5" s="1"/>
  <c r="H329" i="5"/>
  <c r="K329" i="5" s="1"/>
  <c r="H324" i="5"/>
  <c r="K324" i="5" s="1"/>
  <c r="H221" i="5"/>
  <c r="K221" i="5" s="1"/>
  <c r="H222" i="5"/>
  <c r="K222" i="5" s="1"/>
  <c r="H220" i="5"/>
  <c r="K220" i="5" s="1"/>
  <c r="N220" i="5"/>
  <c r="H216" i="5"/>
  <c r="K216" i="5" s="1"/>
  <c r="C5" i="1"/>
  <c r="C6" i="1" s="1"/>
  <c r="C7" i="1" s="1"/>
  <c r="C8" i="1" s="1"/>
  <c r="C9" i="1" s="1"/>
  <c r="C10" i="1" s="1"/>
  <c r="C11" i="1" s="1"/>
  <c r="C12" i="1" s="1"/>
  <c r="C13" i="1" s="1"/>
  <c r="C14" i="1" s="1"/>
  <c r="C15" i="1" s="1"/>
  <c r="C16" i="1" s="1"/>
  <c r="C17" i="1" s="1"/>
  <c r="C18" i="1" s="1"/>
  <c r="C19" i="1" s="1"/>
  <c r="C20" i="1" s="1"/>
  <c r="C21" i="1" s="1"/>
  <c r="C22" i="1" s="1"/>
  <c r="C23" i="1" s="1"/>
  <c r="C24" i="1" s="1"/>
  <c r="C25" i="1" s="1"/>
  <c r="C26" i="1" s="1"/>
  <c r="C27" i="1" s="1"/>
  <c r="C28" i="1" s="1"/>
  <c r="C29" i="1" s="1"/>
  <c r="C30" i="1" s="1"/>
  <c r="C31" i="1" s="1"/>
  <c r="D5" i="1"/>
  <c r="A6"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D6" i="1"/>
  <c r="D7" i="1"/>
  <c r="D8" i="1"/>
  <c r="D9" i="1"/>
  <c r="D10" i="1"/>
  <c r="D11" i="1"/>
  <c r="D12" i="1"/>
  <c r="D13" i="1"/>
  <c r="D14" i="1"/>
  <c r="D15" i="1"/>
  <c r="D16" i="1"/>
  <c r="D17" i="1"/>
  <c r="D18" i="1"/>
  <c r="D19" i="1"/>
  <c r="D20" i="1"/>
  <c r="D21" i="1"/>
  <c r="D22" i="1"/>
  <c r="D23" i="1"/>
  <c r="D24" i="1"/>
  <c r="D25" i="1"/>
  <c r="D26" i="1"/>
  <c r="D27" i="1"/>
  <c r="D28" i="1"/>
  <c r="D29" i="1"/>
  <c r="D30" i="1"/>
  <c r="D31" i="1"/>
  <c r="G4" i="1"/>
  <c r="G34" i="6" l="1"/>
  <c r="H34" i="6" s="1"/>
  <c r="A36" i="6"/>
  <c r="E35" i="6"/>
  <c r="D35" i="6"/>
  <c r="C35" i="6"/>
  <c r="B35" i="6"/>
  <c r="G35" i="6" s="1"/>
  <c r="H35" i="6" s="1"/>
  <c r="G33" i="6"/>
  <c r="H33" i="6" s="1"/>
  <c r="N334" i="5"/>
  <c r="N216" i="5"/>
  <c r="N222" i="5"/>
  <c r="N218" i="5"/>
  <c r="N215" i="5"/>
  <c r="N320" i="5"/>
  <c r="N328" i="5"/>
  <c r="N336" i="5"/>
  <c r="N213" i="5"/>
  <c r="N217" i="5"/>
  <c r="N322" i="5"/>
  <c r="N330" i="5"/>
  <c r="N338" i="5"/>
  <c r="N339" i="5"/>
  <c r="N212" i="5"/>
  <c r="N324" i="5"/>
  <c r="N332" i="5"/>
  <c r="N325" i="5"/>
  <c r="N214" i="5"/>
  <c r="N333" i="5"/>
  <c r="N221" i="5"/>
  <c r="N219" i="5"/>
  <c r="N223" i="5"/>
  <c r="N321" i="5"/>
  <c r="N329" i="5"/>
  <c r="N337" i="5"/>
  <c r="N326" i="5"/>
  <c r="N335" i="5"/>
  <c r="N327" i="5"/>
  <c r="N275" i="5"/>
  <c r="H211" i="5"/>
  <c r="K211" i="5" s="1"/>
  <c r="I210" i="5"/>
  <c r="K210" i="5" s="1"/>
  <c r="K208" i="5"/>
  <c r="K198" i="5"/>
  <c r="K167" i="5"/>
  <c r="K64" i="5"/>
  <c r="H52" i="5"/>
  <c r="K52" i="5" s="1"/>
  <c r="H51" i="5"/>
  <c r="K51" i="5" s="1"/>
  <c r="H50" i="5"/>
  <c r="K50" i="5" s="1"/>
  <c r="H49" i="5"/>
  <c r="K49" i="5" s="1"/>
  <c r="H45" i="5"/>
  <c r="K45" i="5" s="1"/>
  <c r="H41" i="5"/>
  <c r="K41" i="5" s="1"/>
  <c r="I37" i="5"/>
  <c r="K37" i="5" s="1"/>
  <c r="I36" i="5"/>
  <c r="K36" i="5" s="1"/>
  <c r="I35" i="5"/>
  <c r="K35" i="5" s="1"/>
  <c r="I34" i="5"/>
  <c r="K34" i="5" s="1"/>
  <c r="I33" i="5"/>
  <c r="K33" i="5" s="1"/>
  <c r="A37" i="6" l="1"/>
  <c r="C36" i="6"/>
  <c r="B36" i="6"/>
  <c r="D36" i="6"/>
  <c r="E36" i="6"/>
  <c r="N176" i="5"/>
  <c r="N181" i="5"/>
  <c r="N178" i="5"/>
  <c r="N149" i="5"/>
  <c r="N148" i="5"/>
  <c r="N145" i="5"/>
  <c r="N73" i="5"/>
  <c r="G36" i="6" l="1"/>
  <c r="H36" i="6" s="1"/>
  <c r="A38" i="6"/>
  <c r="E37" i="6"/>
  <c r="D37" i="6"/>
  <c r="C37" i="6"/>
  <c r="B37" i="6"/>
  <c r="N147" i="5"/>
  <c r="N82" i="5"/>
  <c r="N146" i="5"/>
  <c r="N81" i="5"/>
  <c r="N89" i="5"/>
  <c r="N64" i="5"/>
  <c r="N102" i="5"/>
  <c r="N72" i="5"/>
  <c r="N108" i="5"/>
  <c r="N85" i="5"/>
  <c r="N92" i="5"/>
  <c r="N54" i="5"/>
  <c r="G7" i="5"/>
  <c r="M7" i="5" s="1"/>
  <c r="G6" i="5"/>
  <c r="M6" i="5" s="1"/>
  <c r="G5" i="5"/>
  <c r="M5" i="5" s="1"/>
  <c r="G4" i="5"/>
  <c r="M4" i="5" s="1"/>
  <c r="G3" i="5"/>
  <c r="M3" i="5" s="1"/>
  <c r="G2" i="5"/>
  <c r="M2" i="5" s="1"/>
  <c r="G37" i="6" l="1"/>
  <c r="H37" i="6" s="1"/>
  <c r="N14" i="5"/>
  <c r="N21" i="5"/>
  <c r="A39" i="6"/>
  <c r="C38" i="6"/>
  <c r="B38" i="6"/>
  <c r="D38" i="6"/>
  <c r="E38" i="6"/>
  <c r="N5" i="5"/>
  <c r="N7" i="5"/>
  <c r="N10" i="5"/>
  <c r="N12" i="5"/>
  <c r="N3" i="5"/>
  <c r="N4" i="5"/>
  <c r="N13" i="5"/>
  <c r="N6" i="5"/>
  <c r="N15" i="5"/>
  <c r="N9" i="5"/>
  <c r="N18" i="5"/>
  <c r="N2" i="5"/>
  <c r="N11" i="5"/>
  <c r="N19" i="5"/>
  <c r="N20" i="5"/>
  <c r="N16" i="5"/>
  <c r="N8" i="5"/>
  <c r="N17" i="5"/>
  <c r="G38" i="6" l="1"/>
  <c r="H38" i="6" s="1"/>
  <c r="A40" i="6"/>
  <c r="E39" i="6"/>
  <c r="D39" i="6"/>
  <c r="C39" i="6"/>
  <c r="B39" i="6"/>
  <c r="CK35" i="1"/>
  <c r="CK34" i="1"/>
  <c r="CK33" i="1"/>
  <c r="CK32" i="1"/>
  <c r="CK31" i="1"/>
  <c r="CK30" i="1"/>
  <c r="CK29" i="1"/>
  <c r="CK28" i="1"/>
  <c r="CK27" i="1"/>
  <c r="CK26" i="1"/>
  <c r="CK25" i="1"/>
  <c r="CK24" i="1"/>
  <c r="CK23" i="1"/>
  <c r="CK22" i="1"/>
  <c r="CK21" i="1"/>
  <c r="CK20" i="1"/>
  <c r="CK19" i="1"/>
  <c r="CK18" i="1"/>
  <c r="CK17" i="1"/>
  <c r="CK16" i="1"/>
  <c r="CK15" i="1"/>
  <c r="CK14" i="1"/>
  <c r="CK13" i="1"/>
  <c r="CK12" i="1"/>
  <c r="CK11" i="1"/>
  <c r="CK10" i="1"/>
  <c r="CK9" i="1"/>
  <c r="CK8" i="1"/>
  <c r="CK7" i="1"/>
  <c r="CK5" i="1"/>
  <c r="CK4" i="1"/>
  <c r="CK6" i="1"/>
  <c r="CM35" i="1"/>
  <c r="CM34" i="1"/>
  <c r="CM33" i="1"/>
  <c r="CM32" i="1"/>
  <c r="CM31" i="1"/>
  <c r="CM30" i="1"/>
  <c r="CM29" i="1"/>
  <c r="CM28" i="1"/>
  <c r="CM27" i="1"/>
  <c r="CM26" i="1"/>
  <c r="CM25" i="1"/>
  <c r="CM24" i="1"/>
  <c r="CM23" i="1"/>
  <c r="CM22" i="1"/>
  <c r="CM21" i="1"/>
  <c r="CM20" i="1"/>
  <c r="CM19" i="1"/>
  <c r="CM18" i="1"/>
  <c r="CM17" i="1"/>
  <c r="CM16" i="1"/>
  <c r="CM15" i="1"/>
  <c r="CM14" i="1"/>
  <c r="CM13" i="1"/>
  <c r="CM12" i="1"/>
  <c r="CM11" i="1"/>
  <c r="CM10" i="1"/>
  <c r="CM9" i="1"/>
  <c r="CM8" i="1"/>
  <c r="CM7" i="1"/>
  <c r="CM6" i="1"/>
  <c r="CM4" i="1"/>
  <c r="CM5" i="1"/>
  <c r="CH17" i="1"/>
  <c r="CH16" i="1"/>
  <c r="CH15" i="1"/>
  <c r="CH14" i="1"/>
  <c r="CH13" i="1"/>
  <c r="CH12" i="1"/>
  <c r="CH11" i="1"/>
  <c r="CH10" i="1"/>
  <c r="CH9" i="1"/>
  <c r="CH8" i="1"/>
  <c r="CH7" i="1"/>
  <c r="CH6" i="1"/>
  <c r="CH5" i="1"/>
  <c r="CH4" i="1"/>
  <c r="CD17" i="1"/>
  <c r="CD16" i="1"/>
  <c r="CD15" i="1"/>
  <c r="CD14" i="1"/>
  <c r="CD13" i="1"/>
  <c r="CD12" i="1"/>
  <c r="CD11" i="1"/>
  <c r="CD10" i="1"/>
  <c r="CD9" i="1"/>
  <c r="CD8" i="1"/>
  <c r="CD7" i="1"/>
  <c r="CD6" i="1"/>
  <c r="CD5" i="1"/>
  <c r="CD4" i="1"/>
  <c r="CE17" i="1"/>
  <c r="CE16" i="1"/>
  <c r="CE15" i="1"/>
  <c r="CE14" i="1"/>
  <c r="CE13" i="1"/>
  <c r="CE12" i="1"/>
  <c r="CE11" i="1"/>
  <c r="CE10" i="1"/>
  <c r="CE9" i="1"/>
  <c r="CE8" i="1"/>
  <c r="CE7" i="1"/>
  <c r="CE6" i="1"/>
  <c r="CE4" i="1"/>
  <c r="CE5" i="1"/>
  <c r="BU61" i="1"/>
  <c r="BU60" i="1"/>
  <c r="BU59" i="1"/>
  <c r="BU58" i="1"/>
  <c r="BU57" i="1"/>
  <c r="BU56" i="1"/>
  <c r="BU55" i="1"/>
  <c r="BU54" i="1"/>
  <c r="BU53" i="1"/>
  <c r="BU52" i="1"/>
  <c r="BU51" i="1"/>
  <c r="BU50" i="1"/>
  <c r="BU49" i="1"/>
  <c r="BU48" i="1"/>
  <c r="BU47" i="1"/>
  <c r="BU46" i="1"/>
  <c r="BU45" i="1"/>
  <c r="BU44" i="1"/>
  <c r="BU43" i="1"/>
  <c r="BU42" i="1"/>
  <c r="BU41" i="1"/>
  <c r="BU40" i="1"/>
  <c r="BU39" i="1"/>
  <c r="BU38" i="1"/>
  <c r="BU37" i="1"/>
  <c r="BU36" i="1"/>
  <c r="BU35" i="1"/>
  <c r="BU34" i="1"/>
  <c r="BU33" i="1"/>
  <c r="BU32" i="1"/>
  <c r="BU31" i="1"/>
  <c r="BU30" i="1"/>
  <c r="BU29" i="1"/>
  <c r="BU28" i="1"/>
  <c r="BU27" i="1"/>
  <c r="BU26" i="1"/>
  <c r="BU25" i="1"/>
  <c r="BU24" i="1"/>
  <c r="BU23" i="1"/>
  <c r="BU22" i="1"/>
  <c r="BU21" i="1"/>
  <c r="BU20" i="1"/>
  <c r="BU19" i="1"/>
  <c r="BU18" i="1"/>
  <c r="BU17" i="1"/>
  <c r="BU16" i="1"/>
  <c r="BU15" i="1"/>
  <c r="BU14" i="1"/>
  <c r="BU13" i="1"/>
  <c r="BU12" i="1"/>
  <c r="BU11" i="1"/>
  <c r="BU10" i="1"/>
  <c r="BU9" i="1"/>
  <c r="BU8" i="1"/>
  <c r="BU7" i="1"/>
  <c r="BU6" i="1"/>
  <c r="BU5" i="1"/>
  <c r="BU4" i="1"/>
  <c r="BZ201" i="1"/>
  <c r="BY201" i="1"/>
  <c r="BZ200" i="1"/>
  <c r="BY200" i="1"/>
  <c r="BZ199" i="1"/>
  <c r="BY199" i="1"/>
  <c r="BZ198" i="1"/>
  <c r="BY198" i="1"/>
  <c r="BZ197" i="1"/>
  <c r="BY197" i="1"/>
  <c r="BZ196" i="1"/>
  <c r="BY196" i="1"/>
  <c r="BZ195" i="1"/>
  <c r="BY195" i="1"/>
  <c r="BZ194" i="1"/>
  <c r="BY194" i="1"/>
  <c r="BZ193" i="1"/>
  <c r="BY193" i="1"/>
  <c r="BZ192" i="1"/>
  <c r="BY192" i="1"/>
  <c r="BZ191" i="1"/>
  <c r="BY191" i="1"/>
  <c r="BZ190" i="1"/>
  <c r="BY190" i="1"/>
  <c r="BZ189" i="1"/>
  <c r="BY189" i="1"/>
  <c r="BZ188" i="1"/>
  <c r="BY188" i="1"/>
  <c r="BZ187" i="1"/>
  <c r="BY187" i="1"/>
  <c r="BZ186" i="1"/>
  <c r="BY186" i="1"/>
  <c r="BZ185" i="1"/>
  <c r="BY185" i="1"/>
  <c r="BZ184" i="1"/>
  <c r="BY184" i="1"/>
  <c r="BZ183" i="1"/>
  <c r="BY183" i="1"/>
  <c r="BZ182" i="1"/>
  <c r="BY182" i="1"/>
  <c r="BZ181" i="1"/>
  <c r="BY181" i="1"/>
  <c r="BZ180" i="1"/>
  <c r="BY180" i="1"/>
  <c r="BZ179" i="1"/>
  <c r="BY179" i="1"/>
  <c r="BZ178" i="1"/>
  <c r="BY178" i="1"/>
  <c r="BZ177" i="1"/>
  <c r="BY177" i="1"/>
  <c r="BZ176" i="1"/>
  <c r="BY176" i="1"/>
  <c r="BZ175" i="1"/>
  <c r="BY175" i="1"/>
  <c r="BZ174" i="1"/>
  <c r="BY174" i="1"/>
  <c r="BZ173" i="1"/>
  <c r="BY173" i="1"/>
  <c r="BZ172" i="1"/>
  <c r="BY172" i="1"/>
  <c r="BZ171" i="1"/>
  <c r="BY171" i="1"/>
  <c r="BZ170" i="1"/>
  <c r="BY170" i="1"/>
  <c r="BZ169" i="1"/>
  <c r="BY169" i="1"/>
  <c r="BZ168" i="1"/>
  <c r="BY168" i="1"/>
  <c r="BZ167" i="1"/>
  <c r="BY167" i="1"/>
  <c r="BZ166" i="1"/>
  <c r="BY166" i="1"/>
  <c r="BZ165" i="1"/>
  <c r="BY165" i="1"/>
  <c r="BZ164" i="1"/>
  <c r="BY164" i="1"/>
  <c r="BZ163" i="1"/>
  <c r="BY163" i="1"/>
  <c r="BZ162" i="1"/>
  <c r="BY162" i="1"/>
  <c r="BZ161" i="1"/>
  <c r="BY161" i="1"/>
  <c r="BZ160" i="1"/>
  <c r="BY160" i="1"/>
  <c r="BZ159" i="1"/>
  <c r="BY159" i="1"/>
  <c r="BZ158" i="1"/>
  <c r="BY158" i="1"/>
  <c r="BZ157" i="1"/>
  <c r="BY157" i="1"/>
  <c r="BZ156" i="1"/>
  <c r="BY156" i="1"/>
  <c r="BZ155" i="1"/>
  <c r="BY155" i="1"/>
  <c r="BZ154" i="1"/>
  <c r="BY154" i="1"/>
  <c r="BZ153" i="1"/>
  <c r="BY153" i="1"/>
  <c r="BZ152" i="1"/>
  <c r="BY152" i="1"/>
  <c r="BZ151" i="1"/>
  <c r="BY151" i="1"/>
  <c r="BZ150" i="1"/>
  <c r="BY150" i="1"/>
  <c r="BZ149" i="1"/>
  <c r="BY149" i="1"/>
  <c r="BZ148" i="1"/>
  <c r="BY148" i="1"/>
  <c r="BZ147" i="1"/>
  <c r="BY147" i="1"/>
  <c r="BZ146" i="1"/>
  <c r="BY146" i="1"/>
  <c r="BZ145" i="1"/>
  <c r="BY145" i="1"/>
  <c r="BZ144" i="1"/>
  <c r="BY144" i="1"/>
  <c r="BZ143" i="1"/>
  <c r="BY143" i="1"/>
  <c r="BZ142" i="1"/>
  <c r="BY142" i="1"/>
  <c r="BZ141" i="1"/>
  <c r="BY141" i="1"/>
  <c r="BZ140" i="1"/>
  <c r="BY140" i="1"/>
  <c r="BZ139" i="1"/>
  <c r="BY139" i="1"/>
  <c r="BZ138" i="1"/>
  <c r="BY138" i="1"/>
  <c r="BZ137" i="1"/>
  <c r="BY137" i="1"/>
  <c r="BZ136" i="1"/>
  <c r="BY136" i="1"/>
  <c r="BZ135" i="1"/>
  <c r="BY135" i="1"/>
  <c r="BZ134" i="1"/>
  <c r="BY134" i="1"/>
  <c r="BZ133" i="1"/>
  <c r="BY133" i="1"/>
  <c r="BZ132" i="1"/>
  <c r="BY132" i="1"/>
  <c r="BZ131" i="1"/>
  <c r="BY131" i="1"/>
  <c r="BZ130" i="1"/>
  <c r="BY130" i="1"/>
  <c r="BZ129" i="1"/>
  <c r="BY129" i="1"/>
  <c r="BZ128" i="1"/>
  <c r="BY128" i="1"/>
  <c r="BZ127" i="1"/>
  <c r="BY127" i="1"/>
  <c r="BZ126" i="1"/>
  <c r="BY126" i="1"/>
  <c r="BZ125" i="1"/>
  <c r="BY125" i="1"/>
  <c r="BZ124" i="1"/>
  <c r="BY124" i="1"/>
  <c r="BZ123" i="1"/>
  <c r="BY123" i="1"/>
  <c r="BZ122" i="1"/>
  <c r="BY122" i="1"/>
  <c r="BZ121" i="1"/>
  <c r="BY121" i="1"/>
  <c r="BZ120" i="1"/>
  <c r="BY120" i="1"/>
  <c r="BZ119" i="1"/>
  <c r="BY119" i="1"/>
  <c r="BZ118" i="1"/>
  <c r="BY118" i="1"/>
  <c r="BZ117" i="1"/>
  <c r="BY117" i="1"/>
  <c r="BZ116" i="1"/>
  <c r="BY116" i="1"/>
  <c r="BZ115" i="1"/>
  <c r="BY115" i="1"/>
  <c r="BZ114" i="1"/>
  <c r="BY114" i="1"/>
  <c r="BZ113" i="1"/>
  <c r="BY113" i="1"/>
  <c r="BZ112" i="1"/>
  <c r="BY112" i="1"/>
  <c r="BZ111" i="1"/>
  <c r="BY111" i="1"/>
  <c r="BZ110" i="1"/>
  <c r="BY110" i="1"/>
  <c r="BZ109" i="1"/>
  <c r="BY109" i="1"/>
  <c r="BZ108" i="1"/>
  <c r="BY108" i="1"/>
  <c r="BZ107" i="1"/>
  <c r="BY107" i="1"/>
  <c r="BZ106" i="1"/>
  <c r="BY106" i="1"/>
  <c r="BZ105" i="1"/>
  <c r="BY105" i="1"/>
  <c r="BZ104" i="1"/>
  <c r="BY104" i="1"/>
  <c r="BZ103" i="1"/>
  <c r="BY103" i="1"/>
  <c r="BZ102" i="1"/>
  <c r="BY102" i="1"/>
  <c r="BZ101" i="1"/>
  <c r="BY101" i="1"/>
  <c r="BZ100" i="1"/>
  <c r="BY100" i="1"/>
  <c r="BZ99" i="1"/>
  <c r="BY99" i="1"/>
  <c r="BZ98" i="1"/>
  <c r="BY98" i="1"/>
  <c r="BZ97" i="1"/>
  <c r="BY97" i="1"/>
  <c r="BZ96" i="1"/>
  <c r="BY96" i="1"/>
  <c r="BZ95" i="1"/>
  <c r="BY95" i="1"/>
  <c r="BZ94" i="1"/>
  <c r="BY94" i="1"/>
  <c r="BZ93" i="1"/>
  <c r="BY93" i="1"/>
  <c r="BZ92" i="1"/>
  <c r="BY92" i="1"/>
  <c r="BZ91" i="1"/>
  <c r="BY91" i="1"/>
  <c r="BZ90" i="1"/>
  <c r="BY90" i="1"/>
  <c r="BZ89" i="1"/>
  <c r="BY89" i="1"/>
  <c r="BZ88" i="1"/>
  <c r="BY88" i="1"/>
  <c r="BZ87" i="1"/>
  <c r="BY87" i="1"/>
  <c r="BZ86" i="1"/>
  <c r="BY86" i="1"/>
  <c r="BZ85" i="1"/>
  <c r="BY85" i="1"/>
  <c r="BZ84" i="1"/>
  <c r="BY84" i="1"/>
  <c r="BZ83" i="1"/>
  <c r="BY83" i="1"/>
  <c r="BZ82" i="1"/>
  <c r="BY82" i="1"/>
  <c r="BZ81" i="1"/>
  <c r="BY81" i="1"/>
  <c r="BZ80" i="1"/>
  <c r="BY80" i="1"/>
  <c r="BZ79" i="1"/>
  <c r="BY79" i="1"/>
  <c r="BZ78" i="1"/>
  <c r="BY78" i="1"/>
  <c r="BZ77" i="1"/>
  <c r="BY77" i="1"/>
  <c r="BZ76" i="1"/>
  <c r="BY76" i="1"/>
  <c r="BZ75" i="1"/>
  <c r="BY75" i="1"/>
  <c r="BZ74" i="1"/>
  <c r="BY74" i="1"/>
  <c r="BZ73" i="1"/>
  <c r="BY73" i="1"/>
  <c r="BZ72" i="1"/>
  <c r="BY72" i="1"/>
  <c r="BZ71" i="1"/>
  <c r="BY71" i="1"/>
  <c r="BZ70" i="1"/>
  <c r="BY70" i="1"/>
  <c r="BZ69" i="1"/>
  <c r="BY69" i="1"/>
  <c r="BZ68" i="1"/>
  <c r="BY68" i="1"/>
  <c r="BZ67" i="1"/>
  <c r="BY67" i="1"/>
  <c r="BZ66" i="1"/>
  <c r="BY66" i="1"/>
  <c r="BZ65" i="1"/>
  <c r="BY65" i="1"/>
  <c r="BZ64" i="1"/>
  <c r="BY64" i="1"/>
  <c r="BZ63" i="1"/>
  <c r="BY63" i="1"/>
  <c r="BZ62" i="1"/>
  <c r="BY62" i="1"/>
  <c r="BZ61" i="1"/>
  <c r="BY61" i="1"/>
  <c r="BZ60" i="1"/>
  <c r="BY60" i="1"/>
  <c r="BZ59" i="1"/>
  <c r="BY59" i="1"/>
  <c r="BZ58" i="1"/>
  <c r="BY58" i="1"/>
  <c r="BZ57" i="1"/>
  <c r="BY57" i="1"/>
  <c r="BZ56" i="1"/>
  <c r="BY56" i="1"/>
  <c r="BZ55" i="1"/>
  <c r="BY55" i="1"/>
  <c r="BZ54" i="1"/>
  <c r="BY54" i="1"/>
  <c r="BZ53" i="1"/>
  <c r="BY53" i="1"/>
  <c r="BZ52" i="1"/>
  <c r="BY52" i="1"/>
  <c r="BZ51" i="1"/>
  <c r="BY51" i="1"/>
  <c r="BZ50" i="1"/>
  <c r="BY50" i="1"/>
  <c r="BZ49" i="1"/>
  <c r="BY49" i="1"/>
  <c r="BZ48" i="1"/>
  <c r="BY48" i="1"/>
  <c r="BZ47" i="1"/>
  <c r="BY47" i="1"/>
  <c r="BZ46" i="1"/>
  <c r="BY46" i="1"/>
  <c r="BZ45" i="1"/>
  <c r="BY45" i="1"/>
  <c r="BZ44" i="1"/>
  <c r="BY44" i="1"/>
  <c r="BZ43" i="1"/>
  <c r="BY43" i="1"/>
  <c r="BZ42" i="1"/>
  <c r="BY42" i="1"/>
  <c r="BZ41" i="1"/>
  <c r="BY41" i="1"/>
  <c r="BZ40" i="1"/>
  <c r="BY40" i="1"/>
  <c r="BZ39" i="1"/>
  <c r="BY39" i="1"/>
  <c r="BZ38" i="1"/>
  <c r="BY38" i="1"/>
  <c r="BZ37" i="1"/>
  <c r="BY37" i="1"/>
  <c r="BZ36" i="1"/>
  <c r="BY36" i="1"/>
  <c r="BZ35" i="1"/>
  <c r="BY35" i="1"/>
  <c r="BZ34" i="1"/>
  <c r="BY34" i="1"/>
  <c r="BZ33" i="1"/>
  <c r="BY33" i="1"/>
  <c r="BZ32" i="1"/>
  <c r="BY32" i="1"/>
  <c r="BZ31" i="1"/>
  <c r="BY31" i="1"/>
  <c r="BZ30" i="1"/>
  <c r="BY30" i="1"/>
  <c r="BZ29" i="1"/>
  <c r="BY29" i="1"/>
  <c r="BZ28" i="1"/>
  <c r="BY28" i="1"/>
  <c r="BZ27" i="1"/>
  <c r="BY27" i="1"/>
  <c r="BZ26" i="1"/>
  <c r="BY26" i="1"/>
  <c r="BZ25" i="1"/>
  <c r="BY25" i="1"/>
  <c r="BZ24" i="1"/>
  <c r="BY24" i="1"/>
  <c r="BZ23" i="1"/>
  <c r="BY23" i="1"/>
  <c r="BZ22" i="1"/>
  <c r="BY22" i="1"/>
  <c r="BZ21" i="1"/>
  <c r="BY21" i="1"/>
  <c r="BZ20" i="1"/>
  <c r="BY20" i="1"/>
  <c r="BZ19" i="1"/>
  <c r="BY19" i="1"/>
  <c r="BZ18" i="1"/>
  <c r="BY18" i="1"/>
  <c r="BZ17" i="1"/>
  <c r="BY17" i="1"/>
  <c r="BZ16" i="1"/>
  <c r="BY16" i="1"/>
  <c r="BZ15" i="1"/>
  <c r="BY15" i="1"/>
  <c r="BZ14" i="1"/>
  <c r="BY14" i="1"/>
  <c r="BZ13" i="1"/>
  <c r="BY13" i="1"/>
  <c r="BZ12" i="1"/>
  <c r="BY12" i="1"/>
  <c r="BZ11" i="1"/>
  <c r="BY11" i="1"/>
  <c r="BZ10" i="1"/>
  <c r="BY10" i="1"/>
  <c r="BZ9" i="1"/>
  <c r="BY9" i="1"/>
  <c r="BZ8" i="1"/>
  <c r="BY8" i="1"/>
  <c r="BZ7" i="1"/>
  <c r="BY7" i="1"/>
  <c r="BZ6" i="1"/>
  <c r="BY6" i="1"/>
  <c r="BZ5" i="1"/>
  <c r="BY5" i="1"/>
  <c r="BY4" i="1"/>
  <c r="BZ4" i="1"/>
  <c r="BX201" i="1"/>
  <c r="BX200" i="1"/>
  <c r="BX199" i="1"/>
  <c r="BX198" i="1"/>
  <c r="BX197" i="1"/>
  <c r="BX196" i="1"/>
  <c r="BX195" i="1"/>
  <c r="BX194" i="1"/>
  <c r="BX193" i="1"/>
  <c r="BX192" i="1"/>
  <c r="BX191" i="1"/>
  <c r="BX190" i="1"/>
  <c r="BX189" i="1"/>
  <c r="BX188" i="1"/>
  <c r="BX187" i="1"/>
  <c r="BX186" i="1"/>
  <c r="BX185" i="1"/>
  <c r="BX184" i="1"/>
  <c r="BX183" i="1"/>
  <c r="BX182" i="1"/>
  <c r="BX181" i="1"/>
  <c r="BX180" i="1"/>
  <c r="BX179" i="1"/>
  <c r="BX178" i="1"/>
  <c r="BX177" i="1"/>
  <c r="BX176" i="1"/>
  <c r="BX175" i="1"/>
  <c r="BX174" i="1"/>
  <c r="BX173" i="1"/>
  <c r="BX172" i="1"/>
  <c r="BX171" i="1"/>
  <c r="BX170" i="1"/>
  <c r="BX169" i="1"/>
  <c r="BX168" i="1"/>
  <c r="BX167" i="1"/>
  <c r="BX166" i="1"/>
  <c r="BX165" i="1"/>
  <c r="BX164" i="1"/>
  <c r="BX163" i="1"/>
  <c r="BX162" i="1"/>
  <c r="BX161" i="1"/>
  <c r="BX160" i="1"/>
  <c r="BX159" i="1"/>
  <c r="BX158" i="1"/>
  <c r="BX157" i="1"/>
  <c r="BX156" i="1"/>
  <c r="BX155" i="1"/>
  <c r="BX154" i="1"/>
  <c r="BX153" i="1"/>
  <c r="BX152" i="1"/>
  <c r="BX151" i="1"/>
  <c r="BX150" i="1"/>
  <c r="BX149" i="1"/>
  <c r="BX148" i="1"/>
  <c r="BX147" i="1"/>
  <c r="BX146" i="1"/>
  <c r="BX145" i="1"/>
  <c r="BX144" i="1"/>
  <c r="BX143" i="1"/>
  <c r="BX142" i="1"/>
  <c r="BX141" i="1"/>
  <c r="BX140" i="1"/>
  <c r="BX139" i="1"/>
  <c r="BX138" i="1"/>
  <c r="BX137" i="1"/>
  <c r="BX136" i="1"/>
  <c r="BX135" i="1"/>
  <c r="BX134" i="1"/>
  <c r="BX133" i="1"/>
  <c r="BX132" i="1"/>
  <c r="BX131" i="1"/>
  <c r="BX130" i="1"/>
  <c r="BX129" i="1"/>
  <c r="BX128" i="1"/>
  <c r="BX127" i="1"/>
  <c r="BX126" i="1"/>
  <c r="BX125" i="1"/>
  <c r="BX124" i="1"/>
  <c r="BX123" i="1"/>
  <c r="BX122" i="1"/>
  <c r="BX121" i="1"/>
  <c r="BX120" i="1"/>
  <c r="BX119" i="1"/>
  <c r="BX118" i="1"/>
  <c r="BX117" i="1"/>
  <c r="BX116" i="1"/>
  <c r="BX115" i="1"/>
  <c r="BX114" i="1"/>
  <c r="BX113" i="1"/>
  <c r="BX112" i="1"/>
  <c r="BX111" i="1"/>
  <c r="BX110" i="1"/>
  <c r="BX109" i="1"/>
  <c r="BX108" i="1"/>
  <c r="BX107" i="1"/>
  <c r="BX106" i="1"/>
  <c r="BX105" i="1"/>
  <c r="BX104" i="1"/>
  <c r="BX103" i="1"/>
  <c r="BX102" i="1"/>
  <c r="BX101" i="1"/>
  <c r="BX100" i="1"/>
  <c r="BX99" i="1"/>
  <c r="BX98" i="1"/>
  <c r="BX97" i="1"/>
  <c r="BX96" i="1"/>
  <c r="BX95" i="1"/>
  <c r="BX94" i="1"/>
  <c r="BX93" i="1"/>
  <c r="BX92" i="1"/>
  <c r="BX91" i="1"/>
  <c r="BX90" i="1"/>
  <c r="BX89" i="1"/>
  <c r="BX88" i="1"/>
  <c r="BX87" i="1"/>
  <c r="BX86" i="1"/>
  <c r="BX85" i="1"/>
  <c r="BX84" i="1"/>
  <c r="BX83" i="1"/>
  <c r="BX82" i="1"/>
  <c r="BX81" i="1"/>
  <c r="BX80" i="1"/>
  <c r="BX79" i="1"/>
  <c r="BX78" i="1"/>
  <c r="BX77" i="1"/>
  <c r="BX76" i="1"/>
  <c r="BX75" i="1"/>
  <c r="BX74" i="1"/>
  <c r="BX73" i="1"/>
  <c r="BX72" i="1"/>
  <c r="BX71" i="1"/>
  <c r="BX70" i="1"/>
  <c r="BX69" i="1"/>
  <c r="BX68" i="1"/>
  <c r="BX67" i="1"/>
  <c r="BX66" i="1"/>
  <c r="BX65" i="1"/>
  <c r="BX64" i="1"/>
  <c r="BX63" i="1"/>
  <c r="BX62" i="1"/>
  <c r="BX61" i="1"/>
  <c r="BX60" i="1"/>
  <c r="BX59" i="1"/>
  <c r="BX58" i="1"/>
  <c r="BX57" i="1"/>
  <c r="BX56" i="1"/>
  <c r="BX55" i="1"/>
  <c r="BX54" i="1"/>
  <c r="BX53" i="1"/>
  <c r="BX52" i="1"/>
  <c r="BX51" i="1"/>
  <c r="BX50" i="1"/>
  <c r="BX49" i="1"/>
  <c r="BX48" i="1"/>
  <c r="BX47" i="1"/>
  <c r="BX46" i="1"/>
  <c r="BX45" i="1"/>
  <c r="BX44" i="1"/>
  <c r="BX43" i="1"/>
  <c r="BX42" i="1"/>
  <c r="BX41" i="1"/>
  <c r="BX40" i="1"/>
  <c r="BX39" i="1"/>
  <c r="BX38" i="1"/>
  <c r="BX37" i="1"/>
  <c r="BX36" i="1"/>
  <c r="BX35" i="1"/>
  <c r="BX34" i="1"/>
  <c r="BX33" i="1"/>
  <c r="BX32" i="1"/>
  <c r="BX31" i="1"/>
  <c r="BX30" i="1"/>
  <c r="BX29" i="1"/>
  <c r="BX28" i="1"/>
  <c r="BX27" i="1"/>
  <c r="BX26" i="1"/>
  <c r="BX25" i="1"/>
  <c r="BX24" i="1"/>
  <c r="BX23" i="1"/>
  <c r="BX22" i="1"/>
  <c r="BX21" i="1"/>
  <c r="BX20" i="1"/>
  <c r="BX19" i="1"/>
  <c r="BX18" i="1"/>
  <c r="BX17" i="1"/>
  <c r="BX16" i="1"/>
  <c r="BX15" i="1"/>
  <c r="BX14" i="1"/>
  <c r="BX13" i="1"/>
  <c r="BX12" i="1"/>
  <c r="BX11" i="1"/>
  <c r="BX10" i="1"/>
  <c r="BX9" i="1"/>
  <c r="BX8" i="1"/>
  <c r="BX7" i="1"/>
  <c r="BX6" i="1"/>
  <c r="BX5" i="1"/>
  <c r="BX4" i="1"/>
  <c r="BS61" i="1"/>
  <c r="BS60" i="1"/>
  <c r="BS59" i="1"/>
  <c r="BS58" i="1"/>
  <c r="BS57" i="1"/>
  <c r="BS56" i="1"/>
  <c r="BS55" i="1"/>
  <c r="BS54" i="1"/>
  <c r="BS53" i="1"/>
  <c r="BS52" i="1"/>
  <c r="BS51" i="1"/>
  <c r="BS50" i="1"/>
  <c r="BS49" i="1"/>
  <c r="BS48" i="1"/>
  <c r="BS47" i="1"/>
  <c r="BS46" i="1"/>
  <c r="BS45" i="1"/>
  <c r="BS44" i="1"/>
  <c r="BS43" i="1"/>
  <c r="BS42" i="1"/>
  <c r="BS41" i="1"/>
  <c r="BS40" i="1"/>
  <c r="BS39" i="1"/>
  <c r="BS38" i="1"/>
  <c r="BS37" i="1"/>
  <c r="BS36" i="1"/>
  <c r="BS35" i="1"/>
  <c r="BS34" i="1"/>
  <c r="BS33" i="1"/>
  <c r="BS32" i="1"/>
  <c r="BS31" i="1"/>
  <c r="BS30" i="1"/>
  <c r="BS29" i="1"/>
  <c r="BS28" i="1"/>
  <c r="BS27" i="1"/>
  <c r="BS26" i="1"/>
  <c r="BS25" i="1"/>
  <c r="BS24" i="1"/>
  <c r="BS23" i="1"/>
  <c r="BS22" i="1"/>
  <c r="BS21" i="1"/>
  <c r="BS20" i="1"/>
  <c r="BS19" i="1"/>
  <c r="BS18" i="1"/>
  <c r="BS17" i="1"/>
  <c r="BS16" i="1"/>
  <c r="BS15" i="1"/>
  <c r="BS14" i="1"/>
  <c r="BS13" i="1"/>
  <c r="BS12" i="1"/>
  <c r="BS11" i="1"/>
  <c r="BS10" i="1"/>
  <c r="BS9" i="1"/>
  <c r="BS8" i="1"/>
  <c r="BS7" i="1"/>
  <c r="BS6" i="1"/>
  <c r="BS5" i="1"/>
  <c r="BS4" i="1"/>
  <c r="BT61" i="1"/>
  <c r="BT60" i="1"/>
  <c r="BT59" i="1"/>
  <c r="BT58" i="1"/>
  <c r="BT57" i="1"/>
  <c r="BT56" i="1"/>
  <c r="BT55" i="1"/>
  <c r="BT54" i="1"/>
  <c r="BT53" i="1"/>
  <c r="BT52" i="1"/>
  <c r="BT51" i="1"/>
  <c r="BT50" i="1"/>
  <c r="BT49" i="1"/>
  <c r="BT48" i="1"/>
  <c r="BT47" i="1"/>
  <c r="BT46" i="1"/>
  <c r="BT45" i="1"/>
  <c r="BT44" i="1"/>
  <c r="BT43" i="1"/>
  <c r="BT42" i="1"/>
  <c r="BT41" i="1"/>
  <c r="BT40" i="1"/>
  <c r="BT39" i="1"/>
  <c r="BT38" i="1"/>
  <c r="BT37" i="1"/>
  <c r="BT36" i="1"/>
  <c r="BT35" i="1"/>
  <c r="BT34" i="1"/>
  <c r="BT33" i="1"/>
  <c r="BT32" i="1"/>
  <c r="BT31" i="1"/>
  <c r="BT30" i="1"/>
  <c r="BT29" i="1"/>
  <c r="BT28" i="1"/>
  <c r="BT27" i="1"/>
  <c r="BT26" i="1"/>
  <c r="BT25" i="1"/>
  <c r="BT24" i="1"/>
  <c r="BT23" i="1"/>
  <c r="BT22" i="1"/>
  <c r="BT21" i="1"/>
  <c r="BT20" i="1"/>
  <c r="BT19" i="1"/>
  <c r="BT18" i="1"/>
  <c r="BT17" i="1"/>
  <c r="BT16" i="1"/>
  <c r="BT15" i="1"/>
  <c r="BT14" i="1"/>
  <c r="BT13" i="1"/>
  <c r="BT12" i="1"/>
  <c r="BT11" i="1"/>
  <c r="BT10" i="1"/>
  <c r="BT9" i="1"/>
  <c r="BT8" i="1"/>
  <c r="BT7" i="1"/>
  <c r="BT6" i="1"/>
  <c r="BT5" i="1"/>
  <c r="BT4" i="1"/>
  <c r="BC12" i="1"/>
  <c r="BC11" i="1"/>
  <c r="BC10" i="1"/>
  <c r="BC9" i="1"/>
  <c r="BC8" i="1"/>
  <c r="BC7" i="1"/>
  <c r="BC6" i="1"/>
  <c r="BC5" i="1"/>
  <c r="BC4" i="1"/>
  <c r="AX31" i="1"/>
  <c r="AX30" i="1"/>
  <c r="AX29" i="1"/>
  <c r="AX28" i="1"/>
  <c r="AX27" i="1"/>
  <c r="AX26" i="1"/>
  <c r="AX25" i="1"/>
  <c r="AX24" i="1"/>
  <c r="AX23" i="1"/>
  <c r="AX22" i="1"/>
  <c r="AX21" i="1"/>
  <c r="AX20" i="1"/>
  <c r="AX19" i="1"/>
  <c r="AX18" i="1"/>
  <c r="AX17" i="1"/>
  <c r="AX16" i="1"/>
  <c r="AX15" i="1"/>
  <c r="AX14" i="1"/>
  <c r="AX13" i="1"/>
  <c r="AX12" i="1"/>
  <c r="AX11" i="1"/>
  <c r="AX10" i="1"/>
  <c r="AX9" i="1"/>
  <c r="AX8" i="1"/>
  <c r="AX7" i="1"/>
  <c r="AX6" i="1"/>
  <c r="AX5" i="1"/>
  <c r="AX4" i="1"/>
  <c r="AA46" i="1"/>
  <c r="AA45" i="1"/>
  <c r="AA44" i="1"/>
  <c r="AA43" i="1"/>
  <c r="AA42" i="1"/>
  <c r="AA41" i="1"/>
  <c r="AA40" i="1"/>
  <c r="AA39" i="1"/>
  <c r="AA38" i="1"/>
  <c r="AA37" i="1"/>
  <c r="AA36" i="1"/>
  <c r="AA35" i="1"/>
  <c r="AA34" i="1"/>
  <c r="AA33" i="1"/>
  <c r="AA32" i="1"/>
  <c r="AA31" i="1"/>
  <c r="AA30" i="1"/>
  <c r="AA29" i="1"/>
  <c r="AA28" i="1"/>
  <c r="AA27" i="1"/>
  <c r="AA26" i="1"/>
  <c r="AA25" i="1"/>
  <c r="AA24" i="1"/>
  <c r="AA23" i="1"/>
  <c r="AA22" i="1"/>
  <c r="AA21" i="1"/>
  <c r="AA20" i="1"/>
  <c r="AA19" i="1"/>
  <c r="AA18" i="1"/>
  <c r="AA17" i="1"/>
  <c r="AA16" i="1"/>
  <c r="AA15" i="1"/>
  <c r="AA14" i="1"/>
  <c r="AA13" i="1"/>
  <c r="AA12" i="1"/>
  <c r="AA11" i="1"/>
  <c r="AA10" i="1"/>
  <c r="AA9" i="1"/>
  <c r="AA8" i="1"/>
  <c r="AA7" i="1"/>
  <c r="AA6" i="1"/>
  <c r="AA5" i="1"/>
  <c r="AA4" i="1"/>
  <c r="AJ4" i="1"/>
  <c r="AO56" i="1"/>
  <c r="AO55" i="1"/>
  <c r="AO54" i="1"/>
  <c r="AO53" i="1"/>
  <c r="AO52" i="1"/>
  <c r="AO51" i="1"/>
  <c r="AO50" i="1"/>
  <c r="AO49" i="1"/>
  <c r="AO48" i="1"/>
  <c r="AO47" i="1"/>
  <c r="AO46" i="1"/>
  <c r="AO45" i="1"/>
  <c r="AO44" i="1"/>
  <c r="AO43" i="1"/>
  <c r="AO42" i="1"/>
  <c r="AO41" i="1"/>
  <c r="AO40" i="1"/>
  <c r="AO39" i="1"/>
  <c r="AO38" i="1"/>
  <c r="AO37" i="1"/>
  <c r="AO36" i="1"/>
  <c r="AO35" i="1"/>
  <c r="AO34" i="1"/>
  <c r="AO33" i="1"/>
  <c r="AO32" i="1"/>
  <c r="AO31" i="1"/>
  <c r="AO30" i="1"/>
  <c r="AO29" i="1"/>
  <c r="AO28" i="1"/>
  <c r="AO27" i="1"/>
  <c r="AO26" i="1"/>
  <c r="AO25" i="1"/>
  <c r="AO24" i="1"/>
  <c r="AO23" i="1"/>
  <c r="AO22" i="1"/>
  <c r="AO21" i="1"/>
  <c r="AO20" i="1"/>
  <c r="AO19" i="1"/>
  <c r="AO18" i="1"/>
  <c r="AO17" i="1"/>
  <c r="AO16" i="1"/>
  <c r="AO15" i="1"/>
  <c r="AO14" i="1"/>
  <c r="AO13" i="1"/>
  <c r="AO12" i="1"/>
  <c r="AO11" i="1"/>
  <c r="AO10" i="1"/>
  <c r="AO9" i="1"/>
  <c r="AO8" i="1"/>
  <c r="AO7" i="1"/>
  <c r="AO6" i="1"/>
  <c r="AO4" i="1"/>
  <c r="AO5" i="1"/>
  <c r="M12" i="1"/>
  <c r="M11" i="1"/>
  <c r="M10" i="1"/>
  <c r="M9" i="1"/>
  <c r="M8" i="1"/>
  <c r="M7" i="1"/>
  <c r="M6" i="1"/>
  <c r="M5" i="1"/>
  <c r="N5" i="1" s="1"/>
  <c r="L5" i="1" s="1"/>
  <c r="P5" i="1" s="1"/>
  <c r="I28" i="1"/>
  <c r="I27" i="1"/>
  <c r="I26" i="1"/>
  <c r="I25" i="1"/>
  <c r="I24" i="1"/>
  <c r="I23" i="1"/>
  <c r="I22" i="1"/>
  <c r="I21" i="1"/>
  <c r="I20" i="1"/>
  <c r="I19" i="1"/>
  <c r="I18" i="1"/>
  <c r="I17" i="1"/>
  <c r="I16" i="1"/>
  <c r="I15" i="1"/>
  <c r="I14" i="1"/>
  <c r="I13" i="1"/>
  <c r="I12" i="1"/>
  <c r="I11" i="1"/>
  <c r="I10" i="1"/>
  <c r="I9" i="1"/>
  <c r="I8" i="1"/>
  <c r="I7" i="1"/>
  <c r="I6" i="1"/>
  <c r="I5" i="1"/>
  <c r="I4" i="1"/>
  <c r="H28" i="1"/>
  <c r="H27" i="1"/>
  <c r="H26" i="1"/>
  <c r="H25" i="1"/>
  <c r="H24" i="1"/>
  <c r="H23" i="1"/>
  <c r="H22" i="1"/>
  <c r="H21" i="1"/>
  <c r="H20" i="1"/>
  <c r="H19" i="1"/>
  <c r="H18" i="1"/>
  <c r="H17" i="1"/>
  <c r="H16" i="1"/>
  <c r="H15" i="1"/>
  <c r="H14" i="1"/>
  <c r="H13" i="1"/>
  <c r="H12" i="1"/>
  <c r="H11" i="1"/>
  <c r="H10" i="1"/>
  <c r="H9" i="1"/>
  <c r="H8" i="1"/>
  <c r="H7" i="1"/>
  <c r="H6" i="1"/>
  <c r="H5" i="1"/>
  <c r="H4" i="1"/>
  <c r="CL35" i="1"/>
  <c r="CL34" i="1"/>
  <c r="CL33" i="1"/>
  <c r="CL32" i="1"/>
  <c r="CL31" i="1"/>
  <c r="CL30" i="1"/>
  <c r="CL29" i="1"/>
  <c r="CL28" i="1"/>
  <c r="CL27" i="1"/>
  <c r="CL26" i="1"/>
  <c r="CL25" i="1"/>
  <c r="CL24" i="1"/>
  <c r="CL23" i="1"/>
  <c r="CL22" i="1"/>
  <c r="CL21" i="1"/>
  <c r="CL20" i="1"/>
  <c r="CL19" i="1"/>
  <c r="CL18" i="1"/>
  <c r="CL17" i="1"/>
  <c r="CL16" i="1"/>
  <c r="CL15" i="1"/>
  <c r="CL14" i="1"/>
  <c r="CL13" i="1"/>
  <c r="CL12" i="1"/>
  <c r="CL11" i="1"/>
  <c r="CL10" i="1"/>
  <c r="CL9" i="1"/>
  <c r="CL8" i="1"/>
  <c r="CL7" i="1"/>
  <c r="CL6" i="1"/>
  <c r="CL5" i="1"/>
  <c r="CL4" i="1"/>
  <c r="G39" i="6" l="1"/>
  <c r="H39" i="6" s="1"/>
  <c r="N10" i="1"/>
  <c r="N8" i="1"/>
  <c r="A41" i="6"/>
  <c r="B40" i="6"/>
  <c r="C40" i="6"/>
  <c r="E40" i="6"/>
  <c r="D40" i="6"/>
  <c r="N9" i="1"/>
  <c r="N12" i="1"/>
  <c r="N7" i="1"/>
  <c r="N11" i="1"/>
  <c r="N6" i="1"/>
  <c r="L6" i="1" s="1"/>
  <c r="P6" i="1" s="1"/>
  <c r="CC17" i="1"/>
  <c r="CC16" i="1"/>
  <c r="CC15" i="1"/>
  <c r="CC14" i="1"/>
  <c r="CC13" i="1"/>
  <c r="CC12" i="1"/>
  <c r="CC11" i="1"/>
  <c r="CC10" i="1"/>
  <c r="CC9" i="1"/>
  <c r="CC8" i="1"/>
  <c r="CC7" i="1"/>
  <c r="CC6" i="1"/>
  <c r="CC4" i="1"/>
  <c r="CC5" i="1"/>
  <c r="BO50" i="1"/>
  <c r="BO49" i="1"/>
  <c r="BO48" i="1"/>
  <c r="BO47" i="1"/>
  <c r="BO46" i="1"/>
  <c r="BO45" i="1"/>
  <c r="BO44" i="1"/>
  <c r="BO43" i="1"/>
  <c r="BO42" i="1"/>
  <c r="BO41" i="1"/>
  <c r="BO40" i="1"/>
  <c r="BO39" i="1"/>
  <c r="BO38" i="1"/>
  <c r="BO37" i="1"/>
  <c r="BO36" i="1"/>
  <c r="BO35" i="1"/>
  <c r="BO34" i="1"/>
  <c r="BO33" i="1"/>
  <c r="BO32" i="1"/>
  <c r="BO31" i="1"/>
  <c r="BO30" i="1"/>
  <c r="BO29" i="1"/>
  <c r="BO28" i="1"/>
  <c r="BO27" i="1"/>
  <c r="BO26" i="1"/>
  <c r="BO25" i="1"/>
  <c r="BO24" i="1"/>
  <c r="BO23" i="1"/>
  <c r="BO22" i="1"/>
  <c r="BO21" i="1"/>
  <c r="BO20" i="1"/>
  <c r="BO19" i="1"/>
  <c r="BO18" i="1"/>
  <c r="BO17" i="1"/>
  <c r="BO16" i="1"/>
  <c r="BO15" i="1"/>
  <c r="BO14" i="1"/>
  <c r="BO13" i="1"/>
  <c r="BO12" i="1"/>
  <c r="BO11" i="1"/>
  <c r="BO10" i="1"/>
  <c r="BO9" i="1"/>
  <c r="BO8" i="1"/>
  <c r="BO7" i="1"/>
  <c r="BO6" i="1"/>
  <c r="BO5" i="1"/>
  <c r="BO4" i="1"/>
  <c r="BP50" i="1"/>
  <c r="BP49" i="1"/>
  <c r="BP48" i="1"/>
  <c r="BP47" i="1"/>
  <c r="BP46" i="1"/>
  <c r="BP45" i="1"/>
  <c r="BP44" i="1"/>
  <c r="BP43" i="1"/>
  <c r="BP42" i="1"/>
  <c r="BP41" i="1"/>
  <c r="BP40" i="1"/>
  <c r="BP39" i="1"/>
  <c r="BP38" i="1"/>
  <c r="BP37" i="1"/>
  <c r="BP36" i="1"/>
  <c r="BP35" i="1"/>
  <c r="BP34" i="1"/>
  <c r="BP33" i="1"/>
  <c r="BP32" i="1"/>
  <c r="BP31" i="1"/>
  <c r="BP30" i="1"/>
  <c r="BP29" i="1"/>
  <c r="BP28" i="1"/>
  <c r="BP27" i="1"/>
  <c r="BP26" i="1"/>
  <c r="BP25" i="1"/>
  <c r="BP24" i="1"/>
  <c r="BP23" i="1"/>
  <c r="BP22" i="1"/>
  <c r="BP21" i="1"/>
  <c r="BP20" i="1"/>
  <c r="BP19" i="1"/>
  <c r="BP18" i="1"/>
  <c r="BP17" i="1"/>
  <c r="BP16" i="1"/>
  <c r="BP15" i="1"/>
  <c r="BP14" i="1"/>
  <c r="BP13" i="1"/>
  <c r="BP12" i="1"/>
  <c r="BP11" i="1"/>
  <c r="BP10" i="1"/>
  <c r="BP9" i="1"/>
  <c r="BP8" i="1"/>
  <c r="BP7" i="1"/>
  <c r="BP6" i="1"/>
  <c r="BP5" i="1"/>
  <c r="BP4" i="1"/>
  <c r="BK19" i="1"/>
  <c r="BJ18" i="1"/>
  <c r="BJ17" i="1"/>
  <c r="BJ16" i="1"/>
  <c r="BJ15" i="1"/>
  <c r="BJ14" i="1"/>
  <c r="BJ13" i="1"/>
  <c r="BJ12" i="1"/>
  <c r="BJ11" i="1"/>
  <c r="BJ10" i="1"/>
  <c r="BJ9" i="1"/>
  <c r="BJ7" i="1"/>
  <c r="BJ6" i="1"/>
  <c r="BJ5" i="1"/>
  <c r="BK18" i="1"/>
  <c r="BK17" i="1"/>
  <c r="BK16" i="1"/>
  <c r="BK15" i="1"/>
  <c r="BK14" i="1"/>
  <c r="BK13" i="1"/>
  <c r="BK12" i="1"/>
  <c r="BK11" i="1"/>
  <c r="BK10" i="1"/>
  <c r="BK9" i="1"/>
  <c r="BK8" i="1"/>
  <c r="BK7" i="1"/>
  <c r="BK6" i="1"/>
  <c r="BK5" i="1"/>
  <c r="BK4" i="1"/>
  <c r="BF5" i="1"/>
  <c r="BG5" i="1"/>
  <c r="BF6" i="1"/>
  <c r="BG6" i="1"/>
  <c r="BF7" i="1"/>
  <c r="BG7" i="1"/>
  <c r="BF8" i="1"/>
  <c r="BG8" i="1"/>
  <c r="BF9" i="1"/>
  <c r="BG9" i="1"/>
  <c r="BF10" i="1"/>
  <c r="BG10" i="1"/>
  <c r="BF11" i="1"/>
  <c r="BG11" i="1"/>
  <c r="BG4" i="1"/>
  <c r="BF4" i="1"/>
  <c r="BB12" i="1"/>
  <c r="BA12" i="1"/>
  <c r="BB11" i="1"/>
  <c r="BA11" i="1"/>
  <c r="BB10" i="1"/>
  <c r="BA10" i="1"/>
  <c r="BB9" i="1"/>
  <c r="BA9" i="1"/>
  <c r="BB8" i="1"/>
  <c r="BA8" i="1"/>
  <c r="BB7" i="1"/>
  <c r="BA7" i="1"/>
  <c r="BB6" i="1"/>
  <c r="BA6" i="1"/>
  <c r="BB5" i="1"/>
  <c r="BA5" i="1"/>
  <c r="BB4" i="1"/>
  <c r="BA4" i="1"/>
  <c r="AR10" i="1"/>
  <c r="AR9" i="1"/>
  <c r="AR8" i="1"/>
  <c r="AR7" i="1"/>
  <c r="AR6" i="1"/>
  <c r="AR5" i="1"/>
  <c r="AR4" i="1"/>
  <c r="AV31" i="1"/>
  <c r="AV30" i="1"/>
  <c r="AV29" i="1"/>
  <c r="AV28" i="1"/>
  <c r="AV27" i="1"/>
  <c r="AV26" i="1"/>
  <c r="AV25" i="1"/>
  <c r="AV24" i="1"/>
  <c r="AV23" i="1"/>
  <c r="AV22" i="1"/>
  <c r="AV21" i="1"/>
  <c r="AV20" i="1"/>
  <c r="AV19" i="1"/>
  <c r="AV18" i="1"/>
  <c r="AV17" i="1"/>
  <c r="AV16" i="1"/>
  <c r="AV15" i="1"/>
  <c r="AV14" i="1"/>
  <c r="AV13" i="1"/>
  <c r="AV12" i="1"/>
  <c r="AV11" i="1"/>
  <c r="AV10" i="1"/>
  <c r="AV9" i="1"/>
  <c r="AV8" i="1"/>
  <c r="AV7" i="1"/>
  <c r="AV6" i="1"/>
  <c r="AV5" i="1"/>
  <c r="AV4" i="1"/>
  <c r="AW31" i="1"/>
  <c r="AW30" i="1"/>
  <c r="AW29" i="1"/>
  <c r="AW28" i="1"/>
  <c r="AW27" i="1"/>
  <c r="AW26" i="1"/>
  <c r="AW25" i="1"/>
  <c r="AW24" i="1"/>
  <c r="AW23" i="1"/>
  <c r="AW22" i="1"/>
  <c r="AW21" i="1"/>
  <c r="AW20" i="1"/>
  <c r="AW19" i="1"/>
  <c r="AW18" i="1"/>
  <c r="AW17" i="1"/>
  <c r="AW16" i="1"/>
  <c r="AW15" i="1"/>
  <c r="AW14" i="1"/>
  <c r="AW13" i="1"/>
  <c r="AW12" i="1"/>
  <c r="AW11" i="1"/>
  <c r="AW10" i="1"/>
  <c r="AW9" i="1"/>
  <c r="AW8" i="1"/>
  <c r="AW7" i="1"/>
  <c r="AW6" i="1"/>
  <c r="AW5" i="1"/>
  <c r="AW4" i="1"/>
  <c r="AS10" i="1"/>
  <c r="AS9" i="1"/>
  <c r="AS8" i="1"/>
  <c r="AS7" i="1"/>
  <c r="AS6" i="1"/>
  <c r="AS5" i="1"/>
  <c r="AS4" i="1"/>
  <c r="AN56" i="1"/>
  <c r="AM56" i="1"/>
  <c r="AN55" i="1"/>
  <c r="AM55" i="1"/>
  <c r="AN54" i="1"/>
  <c r="AM54" i="1"/>
  <c r="AN53" i="1"/>
  <c r="AM53" i="1"/>
  <c r="AN52" i="1"/>
  <c r="AM52" i="1"/>
  <c r="AN51" i="1"/>
  <c r="AM51" i="1"/>
  <c r="AN50" i="1"/>
  <c r="AM50" i="1"/>
  <c r="AN49" i="1"/>
  <c r="AM49" i="1"/>
  <c r="AN48" i="1"/>
  <c r="AM48" i="1"/>
  <c r="AN47" i="1"/>
  <c r="AM47" i="1"/>
  <c r="AN46" i="1"/>
  <c r="AM46" i="1"/>
  <c r="AN45" i="1"/>
  <c r="AM45" i="1"/>
  <c r="AN44" i="1"/>
  <c r="AM44" i="1"/>
  <c r="AN43" i="1"/>
  <c r="AM43" i="1"/>
  <c r="AN42" i="1"/>
  <c r="AM42" i="1"/>
  <c r="AN41" i="1"/>
  <c r="AM41" i="1"/>
  <c r="AN40" i="1"/>
  <c r="AM40" i="1"/>
  <c r="AN39" i="1"/>
  <c r="AM39" i="1"/>
  <c r="AN38" i="1"/>
  <c r="AM38" i="1"/>
  <c r="AN37" i="1"/>
  <c r="AM37" i="1"/>
  <c r="AN36" i="1"/>
  <c r="AM36" i="1"/>
  <c r="AN35" i="1"/>
  <c r="AM35" i="1"/>
  <c r="AN34" i="1"/>
  <c r="AM34" i="1"/>
  <c r="AN33" i="1"/>
  <c r="AM33" i="1"/>
  <c r="AN32" i="1"/>
  <c r="AM32" i="1"/>
  <c r="AN31" i="1"/>
  <c r="AM31" i="1"/>
  <c r="AN30" i="1"/>
  <c r="AM30" i="1"/>
  <c r="AN29" i="1"/>
  <c r="AM29" i="1"/>
  <c r="AN28" i="1"/>
  <c r="AM28" i="1"/>
  <c r="AN27" i="1"/>
  <c r="AM27" i="1"/>
  <c r="AN26" i="1"/>
  <c r="AM26" i="1"/>
  <c r="AN25" i="1"/>
  <c r="AM25" i="1"/>
  <c r="AN24" i="1"/>
  <c r="AM24" i="1"/>
  <c r="AN23" i="1"/>
  <c r="AM23" i="1"/>
  <c r="AN22" i="1"/>
  <c r="AM22" i="1"/>
  <c r="AN21" i="1"/>
  <c r="AM21" i="1"/>
  <c r="AN20" i="1"/>
  <c r="AM20" i="1"/>
  <c r="AN19" i="1"/>
  <c r="AM19" i="1"/>
  <c r="AN18" i="1"/>
  <c r="AM18" i="1"/>
  <c r="AN17" i="1"/>
  <c r="AM17" i="1"/>
  <c r="AN16" i="1"/>
  <c r="AM16" i="1"/>
  <c r="AN15" i="1"/>
  <c r="AM15" i="1"/>
  <c r="AN14" i="1"/>
  <c r="AM14" i="1"/>
  <c r="AN13" i="1"/>
  <c r="AM13" i="1"/>
  <c r="AN12" i="1"/>
  <c r="AM12" i="1"/>
  <c r="AN11" i="1"/>
  <c r="AM11" i="1"/>
  <c r="AN10" i="1"/>
  <c r="AM10" i="1"/>
  <c r="AN9" i="1"/>
  <c r="AM9" i="1"/>
  <c r="AN8" i="1"/>
  <c r="AM8" i="1"/>
  <c r="AN7" i="1"/>
  <c r="AM7" i="1"/>
  <c r="AN6" i="1"/>
  <c r="AM6" i="1"/>
  <c r="AN5" i="1"/>
  <c r="AM5" i="1"/>
  <c r="AN4" i="1"/>
  <c r="AM4" i="1"/>
  <c r="AD33" i="1"/>
  <c r="AD32" i="1"/>
  <c r="AD31" i="1"/>
  <c r="AD30" i="1"/>
  <c r="AD29" i="1"/>
  <c r="AD28" i="1"/>
  <c r="AD27" i="1"/>
  <c r="AD26" i="1"/>
  <c r="AD25" i="1"/>
  <c r="AD24" i="1"/>
  <c r="AD23" i="1"/>
  <c r="AD22" i="1"/>
  <c r="AD21" i="1"/>
  <c r="AD20" i="1"/>
  <c r="AD19" i="1"/>
  <c r="AD18" i="1"/>
  <c r="AD17" i="1"/>
  <c r="AD16" i="1"/>
  <c r="AD15" i="1"/>
  <c r="AD14" i="1"/>
  <c r="AD13" i="1"/>
  <c r="AD12" i="1"/>
  <c r="AD11" i="1"/>
  <c r="AD10" i="1"/>
  <c r="AD9" i="1"/>
  <c r="AD8" i="1"/>
  <c r="AD7" i="1"/>
  <c r="AD6" i="1"/>
  <c r="AD5" i="1"/>
  <c r="AD4" i="1"/>
  <c r="AE33" i="1"/>
  <c r="AE32" i="1"/>
  <c r="AE31" i="1"/>
  <c r="AE30" i="1"/>
  <c r="AE29" i="1"/>
  <c r="AE28" i="1"/>
  <c r="AE27" i="1"/>
  <c r="AE26" i="1"/>
  <c r="AE25" i="1"/>
  <c r="AE24" i="1"/>
  <c r="AE23" i="1"/>
  <c r="AE22" i="1"/>
  <c r="AE21" i="1"/>
  <c r="AE20" i="1"/>
  <c r="AE19" i="1"/>
  <c r="AE17" i="1"/>
  <c r="AE16" i="1"/>
  <c r="AE15" i="1"/>
  <c r="AE14" i="1"/>
  <c r="AE13" i="1"/>
  <c r="AE12" i="1"/>
  <c r="AE11" i="1"/>
  <c r="AE10" i="1"/>
  <c r="AE9" i="1"/>
  <c r="AE8" i="1"/>
  <c r="AE7" i="1"/>
  <c r="AE6" i="1"/>
  <c r="AE5" i="1"/>
  <c r="Z45" i="1"/>
  <c r="Z44" i="1"/>
  <c r="Z43" i="1"/>
  <c r="Z42" i="1"/>
  <c r="Z41" i="1"/>
  <c r="Z40" i="1"/>
  <c r="Z39" i="1"/>
  <c r="Z38" i="1"/>
  <c r="Z37" i="1"/>
  <c r="Z36" i="1"/>
  <c r="Z35" i="1"/>
  <c r="Z34" i="1"/>
  <c r="Z33" i="1"/>
  <c r="Z32" i="1"/>
  <c r="Z31" i="1"/>
  <c r="Z30" i="1"/>
  <c r="Z29" i="1"/>
  <c r="Z28" i="1"/>
  <c r="Z27" i="1"/>
  <c r="Z26" i="1"/>
  <c r="Z25" i="1"/>
  <c r="Z24" i="1"/>
  <c r="Z23" i="1"/>
  <c r="Z22" i="1"/>
  <c r="Z21" i="1"/>
  <c r="Z20" i="1"/>
  <c r="Z19" i="1"/>
  <c r="Z18" i="1"/>
  <c r="Z17" i="1"/>
  <c r="Z16" i="1"/>
  <c r="Z15" i="1"/>
  <c r="Z14" i="1"/>
  <c r="Z13" i="1"/>
  <c r="Z12" i="1"/>
  <c r="Z11" i="1"/>
  <c r="Z10" i="1"/>
  <c r="Z9" i="1"/>
  <c r="Z8" i="1"/>
  <c r="Z7" i="1"/>
  <c r="Z6" i="1"/>
  <c r="Z5" i="1"/>
  <c r="Z4" i="1"/>
  <c r="Z46" i="1"/>
  <c r="AE4" i="1"/>
  <c r="G28" i="1"/>
  <c r="G27" i="1"/>
  <c r="G26" i="1"/>
  <c r="G25" i="1"/>
  <c r="G24" i="1"/>
  <c r="G23" i="1"/>
  <c r="G22" i="1"/>
  <c r="G21" i="1"/>
  <c r="G20" i="1"/>
  <c r="G19" i="1"/>
  <c r="G18" i="1"/>
  <c r="G17" i="1"/>
  <c r="G16" i="1"/>
  <c r="G15" i="1"/>
  <c r="G14" i="1"/>
  <c r="G13" i="1"/>
  <c r="G12" i="1"/>
  <c r="G11" i="1"/>
  <c r="G10" i="1"/>
  <c r="G9" i="1"/>
  <c r="G8" i="1"/>
  <c r="G7" i="1"/>
  <c r="G6" i="1"/>
  <c r="G5" i="1"/>
  <c r="U31" i="1"/>
  <c r="T31" i="1"/>
  <c r="U30" i="1"/>
  <c r="T30" i="1"/>
  <c r="U29" i="1"/>
  <c r="T29" i="1"/>
  <c r="U28" i="1"/>
  <c r="T28" i="1"/>
  <c r="U27" i="1"/>
  <c r="T27" i="1"/>
  <c r="U26" i="1"/>
  <c r="T26" i="1"/>
  <c r="U25" i="1"/>
  <c r="T25" i="1"/>
  <c r="U24" i="1"/>
  <c r="T24" i="1"/>
  <c r="U9" i="1"/>
  <c r="T9" i="1"/>
  <c r="U8" i="1"/>
  <c r="T8" i="1"/>
  <c r="Q7" i="1"/>
  <c r="Q27" i="1"/>
  <c r="T23" i="1"/>
  <c r="T22" i="1"/>
  <c r="T21" i="1"/>
  <c r="T20" i="1"/>
  <c r="T19" i="1"/>
  <c r="T18" i="1"/>
  <c r="T17" i="1"/>
  <c r="T16" i="1"/>
  <c r="T15" i="1"/>
  <c r="T14" i="1"/>
  <c r="T13" i="1"/>
  <c r="T12" i="1"/>
  <c r="T11" i="1"/>
  <c r="T10" i="1"/>
  <c r="T7" i="1"/>
  <c r="T6" i="1"/>
  <c r="T5" i="1"/>
  <c r="U5" i="1"/>
  <c r="U23" i="1"/>
  <c r="U22" i="1"/>
  <c r="U21" i="1"/>
  <c r="U20" i="1"/>
  <c r="U19" i="1"/>
  <c r="U18" i="1"/>
  <c r="U17" i="1"/>
  <c r="U16" i="1"/>
  <c r="U15" i="1"/>
  <c r="U14" i="1"/>
  <c r="U13" i="1"/>
  <c r="U12" i="1"/>
  <c r="U11" i="1"/>
  <c r="U10" i="1"/>
  <c r="U7" i="1"/>
  <c r="U6" i="1"/>
  <c r="C4" i="1"/>
  <c r="D4" i="1"/>
  <c r="Q31" i="1"/>
  <c r="Q30" i="1"/>
  <c r="Q29" i="1"/>
  <c r="Q28" i="1"/>
  <c r="Q26" i="1"/>
  <c r="Q25" i="1"/>
  <c r="Q24" i="1"/>
  <c r="Q23" i="1"/>
  <c r="Q22" i="1"/>
  <c r="Q21" i="1"/>
  <c r="Q20" i="1"/>
  <c r="Q19" i="1"/>
  <c r="Q18" i="1"/>
  <c r="Q17" i="1"/>
  <c r="Q16" i="1"/>
  <c r="Q15" i="1"/>
  <c r="Q14" i="1"/>
  <c r="Q13" i="1"/>
  <c r="Q12" i="1"/>
  <c r="Q11" i="1"/>
  <c r="Q10" i="1"/>
  <c r="Q9" i="1"/>
  <c r="Q8" i="1"/>
  <c r="Q6" i="1"/>
  <c r="Q5" i="1"/>
  <c r="Q4" i="1"/>
  <c r="L4" i="1"/>
  <c r="L12" i="1" l="1"/>
  <c r="L9" i="1"/>
  <c r="P9" i="1" s="1"/>
  <c r="L8" i="1"/>
  <c r="P8" i="1" s="1"/>
  <c r="L10" i="1"/>
  <c r="P10" i="1" s="1"/>
  <c r="A42" i="6"/>
  <c r="E41" i="6"/>
  <c r="D41" i="6"/>
  <c r="C41" i="6"/>
  <c r="B41" i="6"/>
  <c r="G40" i="6"/>
  <c r="H40" i="6" s="1"/>
  <c r="L7" i="1"/>
  <c r="P7" i="1" s="1"/>
  <c r="L11" i="1"/>
  <c r="P11" i="1" s="1"/>
  <c r="CG17" i="1"/>
  <c r="CG10" i="1"/>
  <c r="CG11" i="1"/>
  <c r="CG4" i="1"/>
  <c r="CG12" i="1"/>
  <c r="CG5" i="1"/>
  <c r="CG13" i="1"/>
  <c r="CG6" i="1"/>
  <c r="CG14" i="1"/>
  <c r="CG7" i="1"/>
  <c r="CG15" i="1"/>
  <c r="CG8" i="1"/>
  <c r="CG16" i="1"/>
  <c r="CG9" i="1"/>
  <c r="BL16" i="1"/>
  <c r="BL9" i="1"/>
  <c r="BL17" i="1"/>
  <c r="V7" i="1"/>
  <c r="BL14" i="1"/>
  <c r="BL18" i="1"/>
  <c r="BL11" i="1"/>
  <c r="BL13" i="1"/>
  <c r="BL5" i="1"/>
  <c r="BL7" i="1"/>
  <c r="BL15" i="1"/>
  <c r="BL8" i="1"/>
  <c r="BL10" i="1"/>
  <c r="BL4" i="1"/>
  <c r="BL12" i="1"/>
  <c r="BL19" i="1"/>
  <c r="BL6" i="1"/>
  <c r="V22" i="1"/>
  <c r="V24" i="1"/>
  <c r="V26" i="1"/>
  <c r="V5" i="1"/>
  <c r="V15" i="1"/>
  <c r="V23" i="1"/>
  <c r="V30" i="1"/>
  <c r="V16" i="1"/>
  <c r="V25" i="1"/>
  <c r="V17" i="1"/>
  <c r="V8" i="1"/>
  <c r="V12" i="1"/>
  <c r="V20" i="1"/>
  <c r="V9" i="1"/>
  <c r="V13" i="1"/>
  <c r="V21" i="1"/>
  <c r="V6" i="1"/>
  <c r="V14" i="1"/>
  <c r="V28" i="1"/>
  <c r="V10" i="1"/>
  <c r="V18" i="1"/>
  <c r="V19" i="1"/>
  <c r="V11" i="1"/>
  <c r="O10" i="1" l="1"/>
  <c r="O7" i="1"/>
  <c r="O6" i="1"/>
  <c r="O8" i="1"/>
  <c r="O5" i="1"/>
  <c r="O9" i="1"/>
  <c r="O4" i="1"/>
  <c r="O11" i="1"/>
  <c r="O12" i="1"/>
  <c r="A43" i="6"/>
  <c r="B42" i="6"/>
  <c r="E42" i="6"/>
  <c r="D42" i="6"/>
  <c r="C42" i="6"/>
  <c r="G41" i="6"/>
  <c r="H41" i="6" s="1"/>
  <c r="G42" i="6" l="1"/>
  <c r="H42" i="6" s="1"/>
  <c r="E43" i="6"/>
  <c r="D43" i="6"/>
  <c r="C43" i="6"/>
  <c r="B43" i="6"/>
  <c r="G43" i="6" l="1"/>
  <c r="H43" i="6" s="1"/>
</calcChain>
</file>

<file path=xl/sharedStrings.xml><?xml version="1.0" encoding="utf-8"?>
<sst xmlns="http://schemas.openxmlformats.org/spreadsheetml/2006/main" count="5770" uniqueCount="1625">
  <si>
    <t>Ulawun</t>
  </si>
  <si>
    <t>Ulawun</t>
    <phoneticPr fontId="2"/>
  </si>
  <si>
    <t>Volcano Number</t>
  </si>
  <si>
    <t>Volcano Name</t>
  </si>
  <si>
    <t>Eruption Number</t>
  </si>
  <si>
    <t>Eruption Category</t>
  </si>
  <si>
    <t>Area of Activity</t>
  </si>
  <si>
    <t>Start Year</t>
  </si>
  <si>
    <t>Wolf</t>
  </si>
  <si>
    <t>Confirmed Eruption</t>
  </si>
  <si>
    <t/>
  </si>
  <si>
    <t>2015</t>
  </si>
  <si>
    <t>Calbuco</t>
  </si>
  <si>
    <t>Kelut</t>
  </si>
  <si>
    <t>2014</t>
  </si>
  <si>
    <t>Sinabung</t>
  </si>
  <si>
    <t>2013</t>
  </si>
  <si>
    <t>Tolbachik</t>
  </si>
  <si>
    <t>Tolbachinsky Dol</t>
  </si>
  <si>
    <t>2012</t>
  </si>
  <si>
    <t>Nabro</t>
  </si>
  <si>
    <t>2011</t>
  </si>
  <si>
    <t>Puyehue-Cordon Caulle</t>
  </si>
  <si>
    <t>Cordón Caulle, N of the 1960 eruption fissure</t>
  </si>
  <si>
    <t>Grimsvotn</t>
  </si>
  <si>
    <t>SW part of the caldera</t>
  </si>
  <si>
    <t>Merapi</t>
  </si>
  <si>
    <t>2010</t>
  </si>
  <si>
    <t>Eyjafjallajokull</t>
  </si>
  <si>
    <t>ENE flank (Fimmvörduháls) and summit</t>
  </si>
  <si>
    <t>Sarychev Peak</t>
  </si>
  <si>
    <t>2009</t>
  </si>
  <si>
    <t>Kasatochi</t>
  </si>
  <si>
    <t>2008</t>
  </si>
  <si>
    <t>Okmok</t>
  </si>
  <si>
    <t>NE caldera floor</t>
  </si>
  <si>
    <t>Chaiten</t>
  </si>
  <si>
    <t>Rabaul</t>
  </si>
  <si>
    <t>Tavurvur</t>
  </si>
  <si>
    <t>2006</t>
  </si>
  <si>
    <t>Manam</t>
  </si>
  <si>
    <t>South Crater, Main Crater</t>
  </si>
  <si>
    <t>2004</t>
  </si>
  <si>
    <t>Reventador</t>
  </si>
  <si>
    <t>Summit and SE flank (2600 m)</t>
  </si>
  <si>
    <t>2002</t>
  </si>
  <si>
    <t>Ruang</t>
  </si>
  <si>
    <t>2000</t>
  </si>
  <si>
    <t>Sheveluch</t>
  </si>
  <si>
    <t>1999</t>
  </si>
  <si>
    <t>Tavurvur and Vulcan</t>
  </si>
  <si>
    <t>1994</t>
  </si>
  <si>
    <t>Lascar</t>
  </si>
  <si>
    <t>Western crater of east summit cone</t>
  </si>
  <si>
    <t>1993</t>
  </si>
  <si>
    <t>Spurr</t>
  </si>
  <si>
    <t>South flank (Crater Peak)</t>
  </si>
  <si>
    <t>1992</t>
  </si>
  <si>
    <t>Hudson, Cerro</t>
  </si>
  <si>
    <t>NW caldera rim and SW caldera floor</t>
  </si>
  <si>
    <t>1991</t>
  </si>
  <si>
    <t>Pinatubo</t>
  </si>
  <si>
    <t>Lower north flank and summit</t>
  </si>
  <si>
    <t>1990</t>
  </si>
  <si>
    <t>Klyuchevskoy</t>
  </si>
  <si>
    <t>Summit, SE, SW, NE and east flanks</t>
  </si>
  <si>
    <t>1986</t>
  </si>
  <si>
    <t>Chikurachki</t>
  </si>
  <si>
    <t>Augustine</t>
  </si>
  <si>
    <t>Colo</t>
  </si>
  <si>
    <t>Gunung Colo</t>
  </si>
  <si>
    <t>1983</t>
  </si>
  <si>
    <t>Galunggung</t>
  </si>
  <si>
    <t>New crater at Gunung Jadi location</t>
  </si>
  <si>
    <t>1982</t>
  </si>
  <si>
    <t>Chichon, El</t>
  </si>
  <si>
    <t>Pagan</t>
  </si>
  <si>
    <t>North Pagan (summit and north flank)</t>
  </si>
  <si>
    <t>1981</t>
  </si>
  <si>
    <t>Alaid</t>
  </si>
  <si>
    <t>St. Helens</t>
  </si>
  <si>
    <t>Summit and north flank</t>
  </si>
  <si>
    <t>1980</t>
  </si>
  <si>
    <t>1976</t>
  </si>
  <si>
    <t>South flank (18 &amp; 28 km from summit)</t>
  </si>
  <si>
    <t>1975</t>
  </si>
  <si>
    <t>Fuego</t>
  </si>
  <si>
    <t>1974</t>
  </si>
  <si>
    <t>Chachadake [Tiatia]</t>
  </si>
  <si>
    <t>NNW and SSE flanks</t>
  </si>
  <si>
    <t>1973</t>
  </si>
  <si>
    <t>Fernandina</t>
  </si>
  <si>
    <t>West caldera wall</t>
  </si>
  <si>
    <t>1968</t>
  </si>
  <si>
    <t>Awu</t>
  </si>
  <si>
    <t>1966</t>
  </si>
  <si>
    <t>Taal</t>
  </si>
  <si>
    <t>SW flank (near Mt. Tabaro)</t>
  </si>
  <si>
    <t>1965</t>
  </si>
  <si>
    <t>Molodoy Sheveluch summit domes</t>
  </si>
  <si>
    <t>1964</t>
  </si>
  <si>
    <t>Agung</t>
  </si>
  <si>
    <t>1963</t>
  </si>
  <si>
    <t>Bezymianny</t>
  </si>
  <si>
    <t>1955</t>
  </si>
  <si>
    <t>Carran-Los Venados</t>
  </si>
  <si>
    <t>Carrán Maar</t>
  </si>
  <si>
    <t>1953</t>
  </si>
  <si>
    <t>Bagana</t>
  </si>
  <si>
    <t>1952</t>
  </si>
  <si>
    <t>1951</t>
  </si>
  <si>
    <t>Lamington</t>
  </si>
  <si>
    <t>Ambrym</t>
  </si>
  <si>
    <t>Benbow</t>
  </si>
  <si>
    <t>1950</t>
  </si>
  <si>
    <t>Hekla</t>
  </si>
  <si>
    <t>Hraungigur, Axlargigur, Toppgigur</t>
  </si>
  <si>
    <t>1947</t>
  </si>
  <si>
    <t>1946</t>
  </si>
  <si>
    <t>Avachinsky</t>
  </si>
  <si>
    <t>1945</t>
  </si>
  <si>
    <t>Michoacan-Guanajuato</t>
  </si>
  <si>
    <t>Parícutin</t>
  </si>
  <si>
    <t>1943</t>
  </si>
  <si>
    <t>Vulcan and Tavurvur</t>
  </si>
  <si>
    <t>1937</t>
  </si>
  <si>
    <t>Kuchinoerabujima</t>
  </si>
  <si>
    <t>Shindake</t>
  </si>
  <si>
    <t>1933</t>
  </si>
  <si>
    <t>Suoh</t>
  </si>
  <si>
    <t>Pematang Bata</t>
  </si>
  <si>
    <t>Kharimkotan</t>
  </si>
  <si>
    <t>Severgin</t>
  </si>
  <si>
    <t>1932</t>
  </si>
  <si>
    <t>Aniakchak</t>
  </si>
  <si>
    <t>West and SW caldera floor</t>
  </si>
  <si>
    <t>1931</t>
  </si>
  <si>
    <t>Hokkaido-Komagatake</t>
  </si>
  <si>
    <t>SE and NE of Ansei Crater</t>
  </si>
  <si>
    <t>1929</t>
  </si>
  <si>
    <t>1926</t>
  </si>
  <si>
    <t>Submarine Volcano NNE of Iriomotejima</t>
  </si>
  <si>
    <t>1924</t>
  </si>
  <si>
    <t>Raikoke</t>
  </si>
  <si>
    <t>1919</t>
  </si>
  <si>
    <t>Katla</t>
  </si>
  <si>
    <t>South side of caldera</t>
  </si>
  <si>
    <t>1918</t>
  </si>
  <si>
    <t>Agrigan</t>
  </si>
  <si>
    <t>1917</t>
  </si>
  <si>
    <t>Tungurahua</t>
  </si>
  <si>
    <t>1916</t>
  </si>
  <si>
    <t>Azul, Cerro</t>
  </si>
  <si>
    <t>Quizapu</t>
  </si>
  <si>
    <t>Aira</t>
  </si>
  <si>
    <t>West, east and SE flanks</t>
  </si>
  <si>
    <t>1914</t>
  </si>
  <si>
    <t>Colima</t>
  </si>
  <si>
    <t>1913</t>
  </si>
  <si>
    <t>Novarupta</t>
  </si>
  <si>
    <t>1912</t>
  </si>
  <si>
    <t>Lolobau</t>
  </si>
  <si>
    <t>East flank (Sili)</t>
  </si>
  <si>
    <t>1911</t>
  </si>
  <si>
    <t>Ksudach</t>
  </si>
  <si>
    <t>Stubel</t>
  </si>
  <si>
    <t>1907</t>
  </si>
  <si>
    <t>East flank (Sili, Malo), Hulu ?</t>
  </si>
  <si>
    <t>1904</t>
  </si>
  <si>
    <t>Thordarhyrna</t>
  </si>
  <si>
    <t>Grímsvötn and Thordarhyrna</t>
  </si>
  <si>
    <t>1902</t>
  </si>
  <si>
    <t>Santa Maria</t>
  </si>
  <si>
    <t>SW flank</t>
  </si>
  <si>
    <t>Soufriere St. Vincent</t>
  </si>
  <si>
    <t>Pelee</t>
  </si>
  <si>
    <t>Rivière Blanche and summit crater</t>
  </si>
  <si>
    <t>Dona Juana</t>
  </si>
  <si>
    <t>1897</t>
  </si>
  <si>
    <t>Mayon</t>
  </si>
  <si>
    <t>1893</t>
  </si>
  <si>
    <t>Suwanosejima</t>
  </si>
  <si>
    <t>O-take</t>
  </si>
  <si>
    <t>1889</t>
  </si>
  <si>
    <t>Bandaisan</t>
  </si>
  <si>
    <t>Kobandai</t>
  </si>
  <si>
    <t>1888</t>
  </si>
  <si>
    <t>Niuafo'ou</t>
  </si>
  <si>
    <t>NE side of caldera</t>
  </si>
  <si>
    <t>1886</t>
  </si>
  <si>
    <t>Okataina</t>
  </si>
  <si>
    <t>Tarawera (Wahanga-Waimangu fissure)</t>
  </si>
  <si>
    <t>1883</t>
  </si>
  <si>
    <t>Krakatau</t>
  </si>
  <si>
    <t>Krakatau Island (Perbuwatan, Danan)</t>
  </si>
  <si>
    <t>1880</t>
  </si>
  <si>
    <t>Cotopaxi</t>
  </si>
  <si>
    <t>1877</t>
  </si>
  <si>
    <t>Vesuvius</t>
  </si>
  <si>
    <t>Summit and upper flanks</t>
  </si>
  <si>
    <t>1875</t>
  </si>
  <si>
    <t>Askja</t>
  </si>
  <si>
    <t>Öskjuvatn Caldera, Viti, Sveinagja</t>
  </si>
  <si>
    <t>1873</t>
  </si>
  <si>
    <t>1872</t>
  </si>
  <si>
    <t>Sinarka</t>
  </si>
  <si>
    <t>Makian</t>
  </si>
  <si>
    <t>1861</t>
  </si>
  <si>
    <t>1860</t>
  </si>
  <si>
    <t>1857</t>
  </si>
  <si>
    <t>Ansei Crater</t>
  </si>
  <si>
    <t>1856</t>
  </si>
  <si>
    <t>1854</t>
  </si>
  <si>
    <t>Toya</t>
  </si>
  <si>
    <t>O-Usu</t>
  </si>
  <si>
    <t>1853</t>
  </si>
  <si>
    <t>Fonualei</t>
  </si>
  <si>
    <t>1846</t>
  </si>
  <si>
    <t>Summit, SW and NE flanks</t>
  </si>
  <si>
    <t>1845</t>
  </si>
  <si>
    <t>1843</t>
  </si>
  <si>
    <t>Cosiguina</t>
  </si>
  <si>
    <t>1835</t>
  </si>
  <si>
    <t>Babuyan Claro</t>
  </si>
  <si>
    <t>1831</t>
  </si>
  <si>
    <t>1829</t>
  </si>
  <si>
    <t>1827</t>
  </si>
  <si>
    <t>1826</t>
  </si>
  <si>
    <t>Isanotski</t>
  </si>
  <si>
    <t>Uncertain Eruption</t>
  </si>
  <si>
    <t>1825</t>
  </si>
  <si>
    <t>1822</t>
  </si>
  <si>
    <t>Foot of Ko-Usu dome, Ogari-yama</t>
  </si>
  <si>
    <t>1818</t>
  </si>
  <si>
    <t>Raung</t>
  </si>
  <si>
    <t>1817</t>
  </si>
  <si>
    <t>1814</t>
  </si>
  <si>
    <t>SW ridge fissure and O-take</t>
  </si>
  <si>
    <t>1813</t>
  </si>
  <si>
    <t>1812</t>
  </si>
  <si>
    <t>Old summit crater &amp; new NE rim crater</t>
  </si>
  <si>
    <t>Tambora</t>
  </si>
  <si>
    <t>Unknown Source</t>
  </si>
  <si>
    <t>Tropical latitude (SP, 365 ppb sulfate)</t>
  </si>
  <si>
    <t>1808</t>
  </si>
  <si>
    <t>Tutupaca</t>
  </si>
  <si>
    <t>1802</t>
  </si>
  <si>
    <t>N flank--Goat Rocks area</t>
  </si>
  <si>
    <t>1800</t>
  </si>
  <si>
    <t>Witori</t>
  </si>
  <si>
    <t>Westdahl</t>
  </si>
  <si>
    <t>Pogromni or (more likely) Westdahl</t>
  </si>
  <si>
    <t>1795</t>
  </si>
  <si>
    <t>San Martin</t>
  </si>
  <si>
    <t>Cinder cones in summit crater</t>
  </si>
  <si>
    <t>1793</t>
  </si>
  <si>
    <t>Kilauea</t>
  </si>
  <si>
    <t>Kilauea Caldera (Keanakakoi ash)</t>
  </si>
  <si>
    <t>1790</t>
  </si>
  <si>
    <t>Etna</t>
  </si>
  <si>
    <t>Central Crater</t>
  </si>
  <si>
    <t>1787</t>
  </si>
  <si>
    <t>Asamayama</t>
  </si>
  <si>
    <t>1783</t>
  </si>
  <si>
    <t>Lakagigar (Skaftar) and Grímsvötn</t>
  </si>
  <si>
    <t>NE flank, off NE coast, south flank</t>
  </si>
  <si>
    <t>1779</t>
  </si>
  <si>
    <t>1778</t>
  </si>
  <si>
    <t>Ko-Usu</t>
  </si>
  <si>
    <t>1769</t>
  </si>
  <si>
    <t>1768</t>
  </si>
  <si>
    <t>Bjallagigar</t>
  </si>
  <si>
    <t>1766</t>
  </si>
  <si>
    <t>Miyakejima</t>
  </si>
  <si>
    <t>Oyama, SSW flank (Shinmio maar)</t>
  </si>
  <si>
    <t>1763</t>
  </si>
  <si>
    <t>Planchon-Peteroa</t>
  </si>
  <si>
    <t>Peteroa (2 km S of Planchón summit)</t>
  </si>
  <si>
    <t>1762</t>
  </si>
  <si>
    <t>Pavlof</t>
  </si>
  <si>
    <t>Volcano Uncertain</t>
  </si>
  <si>
    <t>1760</t>
  </si>
  <si>
    <t>Jorullo</t>
  </si>
  <si>
    <t>1759</t>
  </si>
  <si>
    <t>E-W fissure in center of caldera</t>
  </si>
  <si>
    <t>1755</t>
  </si>
  <si>
    <t>Summit crater and SE flank</t>
  </si>
  <si>
    <t>1754</t>
  </si>
  <si>
    <t>1750</t>
  </si>
  <si>
    <t>1749</t>
  </si>
  <si>
    <t>1744</t>
  </si>
  <si>
    <t>Oshima-Oshima</t>
  </si>
  <si>
    <t>Nishi-yama</t>
  </si>
  <si>
    <t>1741</t>
  </si>
  <si>
    <t>Shikotsu</t>
  </si>
  <si>
    <t>Tarumai</t>
  </si>
  <si>
    <t>1739</t>
  </si>
  <si>
    <t>1737</t>
  </si>
  <si>
    <t>Oraefajokull</t>
  </si>
  <si>
    <t>Caldera, west flank (to 1100 m)</t>
  </si>
  <si>
    <t>1727</t>
  </si>
  <si>
    <t>1721</t>
  </si>
  <si>
    <t>Raoul Island</t>
  </si>
  <si>
    <t>Denham Bay?, Tui Lake Crater</t>
  </si>
  <si>
    <t>1720</t>
  </si>
  <si>
    <t>Bravo, Cerro</t>
  </si>
  <si>
    <t>1717</t>
  </si>
  <si>
    <t>Calauit (sublacustral SE flank)</t>
  </si>
  <si>
    <t>1716</t>
  </si>
  <si>
    <t>Chirpoi</t>
  </si>
  <si>
    <t>Cherny</t>
  </si>
  <si>
    <t>1712</t>
  </si>
  <si>
    <t>Fujisan</t>
  </si>
  <si>
    <t>SE flank (Hoei Craters)</t>
  </si>
  <si>
    <t>1707</t>
  </si>
  <si>
    <t>Note</t>
    <phoneticPr fontId="2"/>
  </si>
  <si>
    <t>No</t>
    <phoneticPr fontId="2"/>
  </si>
  <si>
    <t>Lava fountening</t>
    <phoneticPr fontId="2"/>
  </si>
  <si>
    <t>Yes</t>
    <phoneticPr fontId="2"/>
  </si>
  <si>
    <t>No Plinian eruption in the eruptive history (Nakada, 2019)</t>
    <phoneticPr fontId="2"/>
  </si>
  <si>
    <t>Follwed by obsidian lava effusion</t>
    <phoneticPr fontId="2"/>
  </si>
  <si>
    <t>Sub-plinian</t>
    <phoneticPr fontId="2"/>
  </si>
  <si>
    <t>Explosive activity fed by a rapid magma ascent but with only few vesicular juvenile clasts (Surono et al. 2012 JVGR)</t>
    <phoneticPr fontId="2"/>
  </si>
  <si>
    <t>Cryovolcanic</t>
    <phoneticPr fontId="2"/>
  </si>
  <si>
    <t>?</t>
    <phoneticPr fontId="2"/>
  </si>
  <si>
    <t>Raikoke</t>
    <phoneticPr fontId="2"/>
  </si>
  <si>
    <t>Sinabung</t>
    <phoneticPr fontId="2"/>
  </si>
  <si>
    <t>Feb 2018 Event</t>
    <phoneticPr fontId="2"/>
  </si>
  <si>
    <t>Krakatau</t>
    <phoneticPr fontId="2"/>
  </si>
  <si>
    <t>Moussalam et al. (2019)</t>
    <phoneticPr fontId="2"/>
  </si>
  <si>
    <t>Ambae / Aoba</t>
    <phoneticPr fontId="2"/>
  </si>
  <si>
    <t>Fuego</t>
    <phoneticPr fontId="2"/>
  </si>
  <si>
    <t>After the sector collapse of Anak Krakatau</t>
    <phoneticPr fontId="2"/>
  </si>
  <si>
    <t>Havre</t>
    <phoneticPr fontId="2"/>
  </si>
  <si>
    <t>No but High-intensity</t>
    <phoneticPr fontId="2"/>
  </si>
  <si>
    <t>Probably No but High-intensity</t>
    <phoneticPr fontId="2"/>
  </si>
  <si>
    <t>Quality rader observation on the eruption column.</t>
    <phoneticPr fontId="2"/>
  </si>
  <si>
    <t>Cordón Caulle</t>
  </si>
  <si>
    <t>Immediately after the Great Chile Earthquake; Followed by fissure-fed lava effusion</t>
    <phoneticPr fontId="2"/>
  </si>
  <si>
    <t>Perhaps No but high-intensity</t>
    <phoneticPr fontId="2"/>
  </si>
  <si>
    <t>Source unknown</t>
    <phoneticPr fontId="2"/>
  </si>
  <si>
    <t>Caldera collapse</t>
    <phoneticPr fontId="2"/>
  </si>
  <si>
    <t>Apparently Yes</t>
    <phoneticPr fontId="2"/>
  </si>
  <si>
    <t>Bernard et al. (1996)</t>
    <phoneticPr fontId="2"/>
  </si>
  <si>
    <t>Maeno et al. (2017)</t>
    <phoneticPr fontId="2"/>
  </si>
  <si>
    <t>Remote sensing (Fee et al. 2010); Stratigraphy (Waythomas et al. 2010)</t>
    <phoneticPr fontId="2"/>
  </si>
  <si>
    <t>Overview (Rybin et al. 2011 BV); Famous eruption column pic taken from ISS</t>
    <phoneticPr fontId="2"/>
  </si>
  <si>
    <t>Phreatomagmatic events although Fee et al. (2010) called it "plinian". Plume to 16 km, 0.26 km3 DRE (Larsen et al. 2013); Eruption after a long-term inflation (Lu et al. 2010ab JGR)</t>
    <phoneticPr fontId="2"/>
  </si>
  <si>
    <t>Hawaiian with 0.55 km3 DRE volume (Belousov et al. 2015)</t>
    <phoneticPr fontId="2"/>
  </si>
  <si>
    <t>Rapid extrusion of pumice rafts (Carey et al.2018)</t>
    <phoneticPr fontId="2"/>
  </si>
  <si>
    <t>VEI_GVP</t>
    <phoneticPr fontId="2"/>
  </si>
  <si>
    <t>Ridolfi et al. (2008) JVGR</t>
    <phoneticPr fontId="2"/>
  </si>
  <si>
    <t>Arzilli et al. (2019) JVGR</t>
    <phoneticPr fontId="2"/>
  </si>
  <si>
    <t>Lava fountening (Goitom et al. 2015 BV)</t>
    <phoneticPr fontId="2"/>
  </si>
  <si>
    <t>Plinian</t>
    <phoneticPr fontId="2"/>
  </si>
  <si>
    <t>Apparently No</t>
    <phoneticPr fontId="2"/>
  </si>
  <si>
    <t>de Maisonneuve et al. (2015)</t>
    <phoneticPr fontId="2"/>
  </si>
  <si>
    <t>Column to 30 km high (Patia et al. 2017 JVGR)</t>
    <phoneticPr fontId="2"/>
  </si>
  <si>
    <t>Pfl stratigraphy (Major et al. 2013 Andean Geology)</t>
    <phoneticPr fontId="2"/>
  </si>
  <si>
    <t>Keith Ed. (1995) USGS book</t>
    <phoneticPr fontId="2"/>
  </si>
  <si>
    <t>Probably Yes</t>
    <phoneticPr fontId="2"/>
  </si>
  <si>
    <t>Plume to 13.7 km, ~0.3 m of ash with hot pumice fall (Smithsonian Bulletin); Only few literatures available</t>
    <phoneticPr fontId="2"/>
  </si>
  <si>
    <t>VAAC reported the column height 17 km (Smithsonian bulletin);  Only few literatures available</t>
    <phoneticPr fontId="2"/>
  </si>
  <si>
    <t>IsSpectrumOfPlinian</t>
    <phoneticPr fontId="2"/>
  </si>
  <si>
    <t>Plume to 15 km (Smithsonian Bulletin); Only few literatures available; Violent Strombolian?</t>
    <phoneticPr fontId="2"/>
  </si>
  <si>
    <t>Yes</t>
    <phoneticPr fontId="2"/>
  </si>
  <si>
    <t>No</t>
    <phoneticPr fontId="2"/>
  </si>
  <si>
    <t>MFR kg/s</t>
    <phoneticPr fontId="2"/>
  </si>
  <si>
    <t>UTC</t>
    <phoneticPr fontId="2"/>
  </si>
  <si>
    <t>Bonadonna et al. (2015); Refer error bars; Digitized from logarithmic chart</t>
    <phoneticPr fontId="2"/>
  </si>
  <si>
    <t>Lava Eff m3/s</t>
    <phoneticPr fontId="2"/>
  </si>
  <si>
    <t>Hildreth and Fierstein (2012); Total magma cumulative</t>
    <phoneticPr fontId="2"/>
  </si>
  <si>
    <t>Magma km3 Cumulative</t>
    <phoneticPr fontId="2"/>
  </si>
  <si>
    <t>Local time</t>
    <phoneticPr fontId="2"/>
  </si>
  <si>
    <t>Day in June</t>
    <phoneticPr fontId="2"/>
  </si>
  <si>
    <t>Local Date</t>
    <phoneticPr fontId="2"/>
  </si>
  <si>
    <t>Cumulative in Joules</t>
    <phoneticPr fontId="2"/>
  </si>
  <si>
    <t>Normalized</t>
    <phoneticPr fontId="2"/>
  </si>
  <si>
    <t>Hours</t>
    <phoneticPr fontId="2"/>
  </si>
  <si>
    <t>PCC 2011 Lava</t>
    <phoneticPr fontId="2"/>
  </si>
  <si>
    <t>Joules</t>
    <phoneticPr fontId="2"/>
  </si>
  <si>
    <t>Katmai 1912 EQ Log10</t>
    <phoneticPr fontId="2"/>
  </si>
  <si>
    <t>Pinatubo 1991 Column</t>
    <phoneticPr fontId="2"/>
  </si>
  <si>
    <t>Plume height in km</t>
    <phoneticPr fontId="2"/>
  </si>
  <si>
    <t>Days in June</t>
    <phoneticPr fontId="2"/>
  </si>
  <si>
    <t>Wolfe and Hoblitt (1999); Plume height in Fig.10; Digitized from handwritten curve</t>
    <phoneticPr fontId="2"/>
  </si>
  <si>
    <t>Krakatau 1883 Column</t>
    <phoneticPr fontId="2"/>
  </si>
  <si>
    <t>Eruption column in km</t>
    <phoneticPr fontId="2"/>
  </si>
  <si>
    <t>Self (1992); Height of eruption column; Digitized from handwritten curve</t>
    <phoneticPr fontId="2"/>
  </si>
  <si>
    <t>Katmai 1912 Volume</t>
    <phoneticPr fontId="2"/>
  </si>
  <si>
    <t>PCC 2011 Mass</t>
    <phoneticPr fontId="2"/>
  </si>
  <si>
    <t>Pinatubo 1991 EQ Amplitude</t>
    <phoneticPr fontId="2"/>
  </si>
  <si>
    <t>Wolfe and Hoblitt (1999); Relative seismic amplitude Fig. 11; Interpretive digitization - Strictly refer the original!</t>
    <phoneticPr fontId="2"/>
  </si>
  <si>
    <t>Days in June 1991</t>
    <phoneticPr fontId="2"/>
  </si>
  <si>
    <t>Relative seismic amplitude</t>
    <phoneticPr fontId="2"/>
  </si>
  <si>
    <t>Usu 1977 Column</t>
    <phoneticPr fontId="2"/>
  </si>
  <si>
    <t>Araida et al. (1982); Digitized from hand-written spikes and curves</t>
    <phoneticPr fontId="2"/>
  </si>
  <si>
    <t>Days in August 1977</t>
    <phoneticPr fontId="2"/>
  </si>
  <si>
    <t>Plume height</t>
    <phoneticPr fontId="2"/>
  </si>
  <si>
    <t xml:space="preserve">Hours </t>
    <phoneticPr fontId="2"/>
  </si>
  <si>
    <t>Days in June 1929</t>
    <phoneticPr fontId="2"/>
  </si>
  <si>
    <t>Eruption rate in km3/s</t>
    <phoneticPr fontId="2"/>
  </si>
  <si>
    <t>Oshima et al. (2004); Digitized from hand-written curve</t>
    <phoneticPr fontId="2"/>
  </si>
  <si>
    <t>Column height in km</t>
    <phoneticPr fontId="2"/>
  </si>
  <si>
    <t>Augustine 1976 Column</t>
    <phoneticPr fontId="2"/>
  </si>
  <si>
    <t>Days in Jan. 1976</t>
    <phoneticPr fontId="2"/>
  </si>
  <si>
    <t>Cloud height in km</t>
    <phoneticPr fontId="2"/>
  </si>
  <si>
    <t>Kienle et al. (1979); Digitized from bar graph</t>
    <phoneticPr fontId="2"/>
  </si>
  <si>
    <t>Tambora 1815 Intensity</t>
    <phoneticPr fontId="2"/>
  </si>
  <si>
    <t>Days in April 1815</t>
    <phoneticPr fontId="2"/>
  </si>
  <si>
    <t>Self (1984); Digitized from a schematic illustration without vertical scale</t>
    <phoneticPr fontId="2"/>
  </si>
  <si>
    <t>Komagatake 1929 Column</t>
    <phoneticPr fontId="2"/>
  </si>
  <si>
    <t>Calbuco 2015 Umbrella</t>
    <phoneticPr fontId="2"/>
  </si>
  <si>
    <t>Days in April 2015</t>
    <phoneticPr fontId="2"/>
  </si>
  <si>
    <t>Radius of umbrella cloud in km</t>
    <phoneticPr fontId="2"/>
  </si>
  <si>
    <t>Umbrella growth</t>
    <phoneticPr fontId="2"/>
  </si>
  <si>
    <t>Eaton et al. (2016); Umbrella cloud growth</t>
    <phoneticPr fontId="2"/>
  </si>
  <si>
    <t>Days in May 2011</t>
    <phoneticPr fontId="2"/>
  </si>
  <si>
    <t>EDR m3/s</t>
    <phoneticPr fontId="2"/>
  </si>
  <si>
    <t>Marzano et al. (2013); EDR from plume height in radar</t>
    <phoneticPr fontId="2"/>
  </si>
  <si>
    <t>Marzano et al. (2013); EDR from ash volume in radar</t>
    <phoneticPr fontId="2"/>
  </si>
  <si>
    <t>Kelud 2014 Mass1</t>
  </si>
  <si>
    <t>UTC on 13 Feb 2014</t>
    <phoneticPr fontId="2"/>
  </si>
  <si>
    <t>Kelud 2014 Mass2</t>
    <phoneticPr fontId="2"/>
  </si>
  <si>
    <t>Hargie et al. (2019); MER from umbrella width and -50 deg C contour</t>
    <phoneticPr fontId="2"/>
  </si>
  <si>
    <t>Hargie et al. (2019); MER from umbrella width and -30 deg C contour</t>
    <phoneticPr fontId="2"/>
  </si>
  <si>
    <t>Komagatake 1929 Rate</t>
    <phoneticPr fontId="2"/>
  </si>
  <si>
    <t>Days in December 1707</t>
    <phoneticPr fontId="2"/>
  </si>
  <si>
    <t>0.001 km3 DRE per hour</t>
    <phoneticPr fontId="2"/>
  </si>
  <si>
    <t>Fuji 1707 Mass</t>
    <phoneticPr fontId="2"/>
  </si>
  <si>
    <t>Miyaji and Koyama (2007); Eruption rate 10~-3 km3 DRE per hour; Digitized from bar plot</t>
    <phoneticPr fontId="2"/>
  </si>
  <si>
    <t>Bertin et al. (2015); Time-averaged lava effusion rate; Digitized</t>
    <phoneticPr fontId="2"/>
  </si>
  <si>
    <t>kg/s estimated by 2300 kg/m3 (Castro et al. 2013)</t>
    <phoneticPr fontId="2"/>
  </si>
  <si>
    <t>Normalized original data</t>
    <phoneticPr fontId="2"/>
  </si>
  <si>
    <t>km3 DRE per hour</t>
    <phoneticPr fontId="2"/>
  </si>
  <si>
    <t>Hours elapsed</t>
    <phoneticPr fontId="2"/>
  </si>
  <si>
    <t>Hours middle</t>
    <phoneticPr fontId="2"/>
  </si>
  <si>
    <t>Hildreth and Fierstein (2012); Total seismic energy; Abe (1992) is better perhaps?</t>
    <phoneticPr fontId="2"/>
  </si>
  <si>
    <t>kg/s estimated by assumption 2200 kg/m3 of rhyolitic magma</t>
    <phoneticPr fontId="2"/>
  </si>
  <si>
    <t>kg/s estimated by assumption 2400 kg/m3 typical dacitic magma and H[km]=2*V[m3/s DRE]^0.24 of Mastin et al. (2009)</t>
    <phoneticPr fontId="2"/>
  </si>
  <si>
    <t>kg/s estimated by assumption 2400 kg/m3 of typical dacitic magma and H[km]=2*V[m3/s DRE]^0.24 of Mastin et al. (2009)</t>
    <phoneticPr fontId="2"/>
  </si>
  <si>
    <t>kg/s estimated by assumption 2300 kg/m3 of typical rhyo-dacitic magma and H[km]=2*V[m3/s DRE]^0.24 of Mastin et al. (2009)</t>
    <phoneticPr fontId="2"/>
  </si>
  <si>
    <t>kg/s estimated by assumption 2400 kg/m3 of typical rhyo-dacitic magma and H[km]=2*V[m3/s DRE]^0.24 of Mastin et al. (2009)</t>
    <phoneticPr fontId="2"/>
  </si>
  <si>
    <t>kg/s estimated by assumption 2600 kg/m3 of typical basalt-andesitic magma and H[km]=2*V[m3/s DRE]^0.24 of Mastin et al. (2009)</t>
    <phoneticPr fontId="2"/>
  </si>
  <si>
    <t>kg/s estimated by assumption 2700 kg/m3 of typical basaltic magma and H[km]=2*V[m3/s DRE]^0.24 of Mastin et al. (2009)</t>
    <phoneticPr fontId="2"/>
  </si>
  <si>
    <t>Max Plume Height in km</t>
    <phoneticPr fontId="2"/>
  </si>
  <si>
    <t>Grimsvotn 2011 Column</t>
    <phoneticPr fontId="2"/>
  </si>
  <si>
    <t>Grimsvotn 2011 Density</t>
    <phoneticPr fontId="2"/>
  </si>
  <si>
    <t>MER 10^8 kg/s</t>
    <phoneticPr fontId="2"/>
  </si>
  <si>
    <t>kg/s</t>
  </si>
  <si>
    <t>kg/s estimated by assumption 2700 kg/m3 of typical basaltic magma</t>
    <phoneticPr fontId="2"/>
  </si>
  <si>
    <t>Grimsvotn 2011 Volume</t>
    <phoneticPr fontId="2"/>
  </si>
  <si>
    <t>Episode 2 (CD) Start</t>
    <phoneticPr fontId="2"/>
  </si>
  <si>
    <t>Episode 1 (AB) End (Proximal and distal deposits hiatus)</t>
    <phoneticPr fontId="2"/>
  </si>
  <si>
    <t>Episode 2 (CD) End? (Distal ashfall hiatus)</t>
    <phoneticPr fontId="2"/>
  </si>
  <si>
    <t>Episode 3 (FG) Start</t>
    <phoneticPr fontId="2"/>
  </si>
  <si>
    <t>Fig.2 of Hildreth and Fierstein (2012)</t>
    <phoneticPr fontId="2"/>
  </si>
  <si>
    <t>Table 2 in Abe (1992)</t>
    <phoneticPr fontId="2"/>
  </si>
  <si>
    <t>Fig.2 of Hildreth and Fierstein (2012); Approximately interpreted from figure</t>
    <phoneticPr fontId="2"/>
  </si>
  <si>
    <t>Fig. 10 of Abe (1992)</t>
    <phoneticPr fontId="2"/>
  </si>
  <si>
    <t>観察</t>
    <rPh sb="0" eb="2">
      <t>カンサツ</t>
    </rPh>
    <phoneticPr fontId="2"/>
  </si>
  <si>
    <t>解釈</t>
    <rPh sb="0" eb="2">
      <t>カイシャク</t>
    </rPh>
    <phoneticPr fontId="2"/>
  </si>
  <si>
    <t>噴火</t>
    <rPh sb="0" eb="2">
      <t>フンカ</t>
    </rPh>
    <phoneticPr fontId="2"/>
  </si>
  <si>
    <t>出典</t>
    <rPh sb="0" eb="2">
      <t>シュッテン</t>
    </rPh>
    <phoneticPr fontId="2"/>
  </si>
  <si>
    <t>地震</t>
    <rPh sb="0" eb="2">
      <t>ジシン</t>
    </rPh>
    <phoneticPr fontId="2"/>
  </si>
  <si>
    <t>Ms 7.0 (最大の地震)</t>
    <rPh sb="8" eb="10">
      <t>サイダイ</t>
    </rPh>
    <rPh sb="11" eb="13">
      <t>ジシン</t>
    </rPh>
    <phoneticPr fontId="2"/>
  </si>
  <si>
    <t>Ms 6.9 (2番目に大きい地震)</t>
    <rPh sb="9" eb="11">
      <t>バンメ</t>
    </rPh>
    <rPh sb="12" eb="13">
      <t>オオ</t>
    </rPh>
    <rPh sb="15" eb="17">
      <t>ジシン</t>
    </rPh>
    <phoneticPr fontId="2"/>
  </si>
  <si>
    <t>Hildreth and Fierstein (2012) p19</t>
    <phoneticPr fontId="2"/>
  </si>
  <si>
    <t>激しい有感地震</t>
    <rPh sb="0" eb="1">
      <t>ハゲ</t>
    </rPh>
    <rPh sb="3" eb="5">
      <t>ユウカン</t>
    </rPh>
    <rPh sb="5" eb="7">
      <t>ジシン</t>
    </rPh>
    <phoneticPr fontId="2"/>
  </si>
  <si>
    <t>深夜にかけて大きい地震(M5-6)が集中する</t>
    <rPh sb="0" eb="2">
      <t>シンヤ</t>
    </rPh>
    <rPh sb="6" eb="7">
      <t>オオ</t>
    </rPh>
    <rPh sb="9" eb="11">
      <t>ジシン</t>
    </rPh>
    <rPh sb="18" eb="20">
      <t>シュウチュウ</t>
    </rPh>
    <phoneticPr fontId="2"/>
  </si>
  <si>
    <t>88 km離れた船により噴煙が初めて目撃される。噴煙はより大きくなり18時までに船に降灰。</t>
    <rPh sb="5" eb="6">
      <t>ハナ</t>
    </rPh>
    <rPh sb="8" eb="9">
      <t>フネ</t>
    </rPh>
    <rPh sb="12" eb="14">
      <t>フンエン</t>
    </rPh>
    <rPh sb="15" eb="16">
      <t>ハジ</t>
    </rPh>
    <rPh sb="18" eb="20">
      <t>モクゲキ</t>
    </rPh>
    <rPh sb="24" eb="26">
      <t>フンエン</t>
    </rPh>
    <rPh sb="29" eb="30">
      <t>オオ</t>
    </rPh>
    <rPh sb="36" eb="37">
      <t>ジ</t>
    </rPh>
    <rPh sb="40" eb="41">
      <t>フネ</t>
    </rPh>
    <rPh sb="42" eb="44">
      <t>コウハイ</t>
    </rPh>
    <phoneticPr fontId="2"/>
  </si>
  <si>
    <t>100マイル以上先まで聞こえる爆発音。翌日朝にかけて連発。</t>
    <rPh sb="6" eb="8">
      <t>イジョウ</t>
    </rPh>
    <rPh sb="8" eb="9">
      <t>サキ</t>
    </rPh>
    <rPh sb="11" eb="12">
      <t>キ</t>
    </rPh>
    <rPh sb="15" eb="18">
      <t>バクハツオン</t>
    </rPh>
    <rPh sb="19" eb="21">
      <t>ヨクジツ</t>
    </rPh>
    <rPh sb="21" eb="22">
      <t>アサ</t>
    </rPh>
    <rPh sb="26" eb="28">
      <t>レンパツ</t>
    </rPh>
    <phoneticPr fontId="2"/>
  </si>
  <si>
    <t>少なくとも5日前から有感地震があったとの証言あり</t>
    <rPh sb="0" eb="1">
      <t>スク</t>
    </rPh>
    <rPh sb="6" eb="7">
      <t>ニチ</t>
    </rPh>
    <rPh sb="7" eb="8">
      <t>マエ</t>
    </rPh>
    <rPh sb="10" eb="12">
      <t>ユウカン</t>
    </rPh>
    <rPh sb="12" eb="14">
      <t>ジシン</t>
    </rPh>
    <rPh sb="20" eb="22">
      <t>ショウゲン</t>
    </rPh>
    <phoneticPr fontId="2"/>
  </si>
  <si>
    <t>最初の地震計により観測された地震 (Ms 5.4)</t>
    <rPh sb="0" eb="2">
      <t>サイショ</t>
    </rPh>
    <rPh sb="3" eb="6">
      <t>ジシンケイ</t>
    </rPh>
    <rPh sb="14" eb="16">
      <t>ジシン</t>
    </rPh>
    <phoneticPr fontId="2"/>
  </si>
  <si>
    <t>Hildreth and Fierstein (2012) p21</t>
    <phoneticPr fontId="2"/>
  </si>
  <si>
    <t>Katmaiのカルデラ陥没開始?</t>
    <rPh sb="11" eb="13">
      <t>カンボツ</t>
    </rPh>
    <rPh sb="13" eb="15">
      <t>カイシ</t>
    </rPh>
    <phoneticPr fontId="2"/>
  </si>
  <si>
    <t>Ms 6.5の地震（それまでで最大）</t>
    <rPh sb="7" eb="9">
      <t>ジシン</t>
    </rPh>
    <rPh sb="15" eb="17">
      <t>サイダイ</t>
    </rPh>
    <phoneticPr fontId="2"/>
  </si>
  <si>
    <t>午後、M7地震に向けて再び徐々に地震活動が高まる。</t>
    <rPh sb="0" eb="2">
      <t>ゴゴ</t>
    </rPh>
    <rPh sb="5" eb="7">
      <t>ジシン</t>
    </rPh>
    <rPh sb="8" eb="9">
      <t>ム</t>
    </rPh>
    <rPh sb="11" eb="12">
      <t>フタタ</t>
    </rPh>
    <rPh sb="13" eb="15">
      <t>ジョジョ</t>
    </rPh>
    <rPh sb="16" eb="20">
      <t>ジシンカツドウ</t>
    </rPh>
    <rPh sb="21" eb="22">
      <t>タカ</t>
    </rPh>
    <phoneticPr fontId="2"/>
  </si>
  <si>
    <t>Ms 6.2 (最後に観測された地震)</t>
    <rPh sb="8" eb="10">
      <t>サイゴ</t>
    </rPh>
    <rPh sb="11" eb="13">
      <t>カンソク</t>
    </rPh>
    <rPh sb="16" eb="18">
      <t>ジシン</t>
    </rPh>
    <phoneticPr fontId="2"/>
  </si>
  <si>
    <t>時刻不詳: 朝日に照らされたじょうご型の噴煙が目撃</t>
    <rPh sb="0" eb="2">
      <t>ジコク</t>
    </rPh>
    <rPh sb="2" eb="4">
      <t>フショウ</t>
    </rPh>
    <rPh sb="6" eb="8">
      <t>アサヒ</t>
    </rPh>
    <rPh sb="9" eb="10">
      <t>テ</t>
    </rPh>
    <rPh sb="18" eb="19">
      <t>ガタ</t>
    </rPh>
    <rPh sb="20" eb="22">
      <t>フンエン</t>
    </rPh>
    <rPh sb="23" eb="25">
      <t>モクゲキ</t>
    </rPh>
    <phoneticPr fontId="2"/>
  </si>
  <si>
    <t>時刻不詳: 4時間後に降灰の一次停止</t>
    <rPh sb="0" eb="2">
      <t>ジコク</t>
    </rPh>
    <rPh sb="2" eb="4">
      <t>フショウ</t>
    </rPh>
    <rPh sb="7" eb="10">
      <t>ジカンゴ</t>
    </rPh>
    <rPh sb="11" eb="13">
      <t>コウハイ</t>
    </rPh>
    <rPh sb="14" eb="16">
      <t>イチジ</t>
    </rPh>
    <rPh sb="16" eb="18">
      <t>テイシ</t>
    </rPh>
    <phoneticPr fontId="2"/>
  </si>
  <si>
    <t>時刻不詳: 4時間後に降灰の一次停止</t>
    <rPh sb="7" eb="10">
      <t>ジカンゴ</t>
    </rPh>
    <rPh sb="11" eb="13">
      <t>コウハイ</t>
    </rPh>
    <rPh sb="14" eb="16">
      <t>イチジ</t>
    </rPh>
    <rPh sb="16" eb="18">
      <t>テイシ</t>
    </rPh>
    <phoneticPr fontId="2"/>
  </si>
  <si>
    <t>噴火開始</t>
    <rPh sb="0" eb="2">
      <t>フンカ</t>
    </rPh>
    <rPh sb="2" eb="4">
      <t>カイシ</t>
    </rPh>
    <phoneticPr fontId="2"/>
  </si>
  <si>
    <t>プリニー式噴火開始 Episode 1 (A, B)</t>
    <rPh sb="4" eb="7">
      <t>シキフンカ</t>
    </rPh>
    <rPh sb="7" eb="9">
      <t>カイシ</t>
    </rPh>
    <phoneticPr fontId="2"/>
  </si>
  <si>
    <t>Lara et al. (2006)</t>
    <phoneticPr fontId="2"/>
  </si>
  <si>
    <t>日時不詳: 非常に小さいが新しい軽石丘が存在し、1990年にできたとの住民証言</t>
    <rPh sb="0" eb="2">
      <t>ニチジ</t>
    </rPh>
    <rPh sb="2" eb="4">
      <t>フショウ</t>
    </rPh>
    <rPh sb="6" eb="8">
      <t>ヒジョウ</t>
    </rPh>
    <rPh sb="9" eb="10">
      <t>チイ</t>
    </rPh>
    <rPh sb="13" eb="14">
      <t>アタラ</t>
    </rPh>
    <rPh sb="16" eb="18">
      <t>カルイシ</t>
    </rPh>
    <rPh sb="18" eb="19">
      <t>オカ</t>
    </rPh>
    <rPh sb="20" eb="22">
      <t>ソンザイ</t>
    </rPh>
    <rPh sb="28" eb="29">
      <t>ネン</t>
    </rPh>
    <rPh sb="35" eb="37">
      <t>ジュウミン</t>
    </rPh>
    <rPh sb="37" eb="39">
      <t>ショウゲン</t>
    </rPh>
    <phoneticPr fontId="2"/>
  </si>
  <si>
    <t>地殻変動</t>
    <rPh sb="0" eb="2">
      <t>チカク</t>
    </rPh>
    <rPh sb="2" eb="4">
      <t>ヘンドウ</t>
    </rPh>
    <phoneticPr fontId="2"/>
  </si>
  <si>
    <t>Pritchard and Simons (2004)</t>
    <phoneticPr fontId="2"/>
  </si>
  <si>
    <t>時刻種別</t>
    <rPh sb="0" eb="2">
      <t>ジコク</t>
    </rPh>
    <rPh sb="2" eb="4">
      <t>シュベツ</t>
    </rPh>
    <phoneticPr fontId="2"/>
  </si>
  <si>
    <t>UTC</t>
    <phoneticPr fontId="2"/>
  </si>
  <si>
    <t>Fournier et al. (2010)</t>
    <phoneticPr fontId="2"/>
  </si>
  <si>
    <t>Envisat衛星InSAR</t>
    <rPh sb="7" eb="9">
      <t>エイセイ</t>
    </rPh>
    <phoneticPr fontId="2"/>
  </si>
  <si>
    <t>不確かながら数cm/y程度の沈降?</t>
    <rPh sb="0" eb="2">
      <t>フタシ</t>
    </rPh>
    <phoneticPr fontId="2"/>
  </si>
  <si>
    <t>ERS衛星InSAR</t>
    <rPh sb="3" eb="5">
      <t>エイセイ</t>
    </rPh>
    <phoneticPr fontId="2"/>
  </si>
  <si>
    <t>3cm/y程度の隆起</t>
    <rPh sb="8" eb="10">
      <t>リュウキ</t>
    </rPh>
    <phoneticPr fontId="2"/>
  </si>
  <si>
    <t>1cm/y程度の隆起</t>
    <rPh sb="8" eb="10">
      <t>リュウキ</t>
    </rPh>
    <phoneticPr fontId="2"/>
  </si>
  <si>
    <t>ALOS衛星InSAR</t>
    <rPh sb="4" eb="6">
      <t>エイセイ</t>
    </rPh>
    <phoneticPr fontId="2"/>
  </si>
  <si>
    <t>19.8cm/y程度の隆起</t>
    <rPh sb="11" eb="13">
      <t>リュウキ</t>
    </rPh>
    <phoneticPr fontId="2"/>
  </si>
  <si>
    <t>浅い地震活動の増加</t>
    <rPh sb="0" eb="1">
      <t>アサ</t>
    </rPh>
    <rPh sb="2" eb="4">
      <t>ジシン</t>
    </rPh>
    <rPh sb="4" eb="6">
      <t>カツドウ</t>
    </rPh>
    <rPh sb="7" eb="9">
      <t>ゾウカ</t>
    </rPh>
    <phoneticPr fontId="2"/>
  </si>
  <si>
    <t>Bertin et al. (2015)</t>
    <phoneticPr fontId="2"/>
  </si>
  <si>
    <t>なし</t>
    <phoneticPr fontId="2"/>
  </si>
  <si>
    <t>住民が異常な噴気活動を通報したが、航空調査では異常は見つからなかった</t>
    <rPh sb="0" eb="2">
      <t>ジュウミン</t>
    </rPh>
    <rPh sb="3" eb="5">
      <t>イジョウ</t>
    </rPh>
    <rPh sb="8" eb="10">
      <t>カツドウ</t>
    </rPh>
    <rPh sb="11" eb="13">
      <t>ツウホウ</t>
    </rPh>
    <rPh sb="17" eb="19">
      <t>コウクウ</t>
    </rPh>
    <rPh sb="19" eb="21">
      <t>チョウサ</t>
    </rPh>
    <rPh sb="23" eb="25">
      <t>イジョウ</t>
    </rPh>
    <rPh sb="26" eb="27">
      <t>ミ</t>
    </rPh>
    <phoneticPr fontId="2"/>
  </si>
  <si>
    <t>地震</t>
    <rPh sb="0" eb="2">
      <t>ジシン</t>
    </rPh>
    <phoneticPr fontId="2"/>
  </si>
  <si>
    <t>顕著な地震活動の高まり。震源深さ4-6km。多くがハイブリッド型地震。</t>
    <rPh sb="0" eb="2">
      <t>ケンチョ</t>
    </rPh>
    <rPh sb="3" eb="5">
      <t>ジシン</t>
    </rPh>
    <rPh sb="5" eb="7">
      <t>カツドウ</t>
    </rPh>
    <rPh sb="8" eb="9">
      <t>タカ</t>
    </rPh>
    <rPh sb="12" eb="14">
      <t>シンゲン</t>
    </rPh>
    <rPh sb="14" eb="15">
      <t>フカ</t>
    </rPh>
    <rPh sb="22" eb="23">
      <t>オオ</t>
    </rPh>
    <rPh sb="31" eb="32">
      <t>ガタ</t>
    </rPh>
    <rPh sb="32" eb="34">
      <t>ジシン</t>
    </rPh>
    <phoneticPr fontId="2"/>
  </si>
  <si>
    <t>Global Volcanism Program (2011)</t>
    <phoneticPr fontId="2"/>
  </si>
  <si>
    <t>構造性・低周波・ハイブリッド型の地震活動が開始</t>
    <rPh sb="0" eb="3">
      <t>コウゾウセイ</t>
    </rPh>
    <rPh sb="4" eb="7">
      <t>テイシュウハ</t>
    </rPh>
    <rPh sb="14" eb="15">
      <t>ガタ</t>
    </rPh>
    <rPh sb="16" eb="18">
      <t>ジシン</t>
    </rPh>
    <rPh sb="18" eb="20">
      <t>カツドウ</t>
    </rPh>
    <rPh sb="21" eb="23">
      <t>カイシ</t>
    </rPh>
    <phoneticPr fontId="2"/>
  </si>
  <si>
    <t>航空調査では異常見つからず</t>
    <rPh sb="0" eb="4">
      <t>コウクウチョウサ</t>
    </rPh>
    <rPh sb="6" eb="8">
      <t>イジョウ</t>
    </rPh>
    <rPh sb="8" eb="9">
      <t>ミ</t>
    </rPh>
    <phoneticPr fontId="2"/>
  </si>
  <si>
    <t>未噴火</t>
    <rPh sb="0" eb="1">
      <t>ミ</t>
    </rPh>
    <rPh sb="1" eb="3">
      <t>フンカ</t>
    </rPh>
    <phoneticPr fontId="2"/>
  </si>
  <si>
    <t>地震活動の再活発化。震源深さ2-5km。</t>
    <rPh sb="0" eb="2">
      <t>ジシン</t>
    </rPh>
    <rPh sb="2" eb="4">
      <t>カツドウ</t>
    </rPh>
    <rPh sb="5" eb="6">
      <t>サイ</t>
    </rPh>
    <rPh sb="6" eb="9">
      <t>カッパツカ</t>
    </rPh>
    <rPh sb="10" eb="12">
      <t>シンゲン</t>
    </rPh>
    <rPh sb="12" eb="13">
      <t>フカ</t>
    </rPh>
    <phoneticPr fontId="2"/>
  </si>
  <si>
    <t>地震活動が更に活発化。震源深さ1-4kmと浅くなる。6時間でM4以上が12回。</t>
    <rPh sb="0" eb="2">
      <t>ジシン</t>
    </rPh>
    <rPh sb="2" eb="4">
      <t>カツドウ</t>
    </rPh>
    <rPh sb="5" eb="6">
      <t>サラ</t>
    </rPh>
    <rPh sb="7" eb="10">
      <t>カッパツカ</t>
    </rPh>
    <rPh sb="11" eb="14">
      <t>シンゲンフカ</t>
    </rPh>
    <rPh sb="21" eb="22">
      <t>アサ</t>
    </rPh>
    <rPh sb="27" eb="29">
      <t>ジカン</t>
    </rPh>
    <rPh sb="32" eb="34">
      <t>イジョウ</t>
    </rPh>
    <rPh sb="37" eb="38">
      <t>カイ</t>
    </rPh>
    <phoneticPr fontId="2"/>
  </si>
  <si>
    <t>噴火</t>
    <rPh sb="0" eb="2">
      <t>フンカ</t>
    </rPh>
    <phoneticPr fontId="2"/>
  </si>
  <si>
    <t>噴火開始。We Pillán火口の形成。</t>
    <rPh sb="0" eb="2">
      <t>フンカ</t>
    </rPh>
    <rPh sb="2" eb="4">
      <t>カイシ</t>
    </rPh>
    <rPh sb="17" eb="19">
      <t>ケイセイ</t>
    </rPh>
    <phoneticPr fontId="2"/>
  </si>
  <si>
    <t>ピーク噴火開始までの時間</t>
    <rPh sb="3" eb="5">
      <t>フンカ</t>
    </rPh>
    <rPh sb="5" eb="7">
      <t>カイシ</t>
    </rPh>
    <rPh sb="10" eb="12">
      <t>ジカン</t>
    </rPh>
    <phoneticPr fontId="2"/>
  </si>
  <si>
    <t>サブプリニー式噴火</t>
    <rPh sb="6" eb="9">
      <t>シキフンカ</t>
    </rPh>
    <phoneticPr fontId="2"/>
  </si>
  <si>
    <t>Pistolesi et al. (2015)</t>
    <phoneticPr fontId="2"/>
  </si>
  <si>
    <t>Unit I (E+7 kg/s)</t>
    <phoneticPr fontId="2"/>
  </si>
  <si>
    <t>噴出物中の岩片の減少、黒曜石の増加。風向変化による噴煙柱高度、ユニットの変化。</t>
    <rPh sb="0" eb="2">
      <t>フンシュツ</t>
    </rPh>
    <rPh sb="2" eb="4">
      <t>ブツチュウ</t>
    </rPh>
    <rPh sb="5" eb="7">
      <t>ガンペン</t>
    </rPh>
    <rPh sb="6" eb="7">
      <t>ペン</t>
    </rPh>
    <rPh sb="8" eb="10">
      <t>ゲンショウ</t>
    </rPh>
    <rPh sb="11" eb="14">
      <t>コクヨウセキ</t>
    </rPh>
    <rPh sb="15" eb="17">
      <t>ゾウカ</t>
    </rPh>
    <rPh sb="18" eb="20">
      <t>フウコウ</t>
    </rPh>
    <rPh sb="20" eb="22">
      <t>ヘンカ</t>
    </rPh>
    <rPh sb="25" eb="30">
      <t>フンエンチュウコウド</t>
    </rPh>
    <rPh sb="36" eb="38">
      <t>ヘンカ</t>
    </rPh>
    <phoneticPr fontId="2"/>
  </si>
  <si>
    <t>Unit II, III (E+6 kg/s). 火道の変化</t>
    <rPh sb="25" eb="27">
      <t>カドウ</t>
    </rPh>
    <rPh sb="28" eb="30">
      <t>ヘンカ</t>
    </rPh>
    <phoneticPr fontId="2"/>
  </si>
  <si>
    <t>細粒物の噴出とまれにブルカノ式噴火</t>
    <rPh sb="0" eb="2">
      <t>サイリュウ</t>
    </rPh>
    <rPh sb="2" eb="3">
      <t>ブツ</t>
    </rPh>
    <rPh sb="4" eb="6">
      <t>フンシュツ</t>
    </rPh>
    <rPh sb="14" eb="15">
      <t>シキ</t>
    </rPh>
    <rPh sb="15" eb="17">
      <t>フンカ</t>
    </rPh>
    <phoneticPr fontId="2"/>
  </si>
  <si>
    <t>We Pillán火口西側に潜在溶岩ドーム形成</t>
    <rPh sb="11" eb="13">
      <t>ニシガワ</t>
    </rPh>
    <rPh sb="14" eb="18">
      <t>センザイヨウガン</t>
    </rPh>
    <rPh sb="21" eb="23">
      <t>ケイセイ</t>
    </rPh>
    <phoneticPr fontId="2"/>
  </si>
  <si>
    <t>Castro et al. (2016)</t>
    <phoneticPr fontId="2"/>
  </si>
  <si>
    <t>溶岩の噴出率ピーク(72.1 m3/s)</t>
    <rPh sb="0" eb="2">
      <t>ヨウガン</t>
    </rPh>
    <rPh sb="3" eb="5">
      <t>フンシュツ</t>
    </rPh>
    <rPh sb="5" eb="6">
      <t>リツ</t>
    </rPh>
    <phoneticPr fontId="2"/>
  </si>
  <si>
    <t>Unit V? (Pistolesi et al. 2015)</t>
    <phoneticPr fontId="2"/>
  </si>
  <si>
    <t>黒曜石質の溶岩の噴出(~2012/3/15)</t>
    <rPh sb="0" eb="3">
      <t>コクヨウセキ</t>
    </rPh>
    <rPh sb="3" eb="4">
      <t>シツ</t>
    </rPh>
    <rPh sb="5" eb="7">
      <t>ヨウガン</t>
    </rPh>
    <rPh sb="8" eb="10">
      <t>フンシュツ</t>
    </rPh>
    <phoneticPr fontId="2"/>
  </si>
  <si>
    <t>チリ・マウレ地震(Mw 8.8)</t>
    <rPh sb="6" eb="8">
      <t>ジシン</t>
    </rPh>
    <phoneticPr fontId="2"/>
  </si>
  <si>
    <t>サブプリニー式噴火の開始</t>
    <rPh sb="6" eb="9">
      <t>シキフンカ</t>
    </rPh>
    <rPh sb="10" eb="12">
      <t>カイシ</t>
    </rPh>
    <phoneticPr fontId="2"/>
  </si>
  <si>
    <t>Mw 9.5 チリ地震</t>
    <rPh sb="9" eb="11">
      <t>ジシン</t>
    </rPh>
    <phoneticPr fontId="2"/>
  </si>
  <si>
    <t>チリ地震前震活動の開始</t>
    <rPh sb="2" eb="4">
      <t>ジシン</t>
    </rPh>
    <rPh sb="4" eb="6">
      <t>ゼンシン</t>
    </rPh>
    <rPh sb="6" eb="8">
      <t>カツドウ</t>
    </rPh>
    <rPh sb="9" eb="11">
      <t>カイシ</t>
    </rPh>
    <phoneticPr fontId="2"/>
  </si>
  <si>
    <t>Lara et al. (2004)</t>
    <phoneticPr fontId="2"/>
  </si>
  <si>
    <t>Unit IV (E+5 kg/s)</t>
    <phoneticPr fontId="2"/>
  </si>
  <si>
    <t>既製のの噴火推移概要</t>
    <rPh sb="0" eb="2">
      <t>キセイ</t>
    </rPh>
    <rPh sb="4" eb="6">
      <t>フンカ</t>
    </rPh>
    <rPh sb="6" eb="8">
      <t>スイイ</t>
    </rPh>
    <rPh sb="8" eb="10">
      <t>ガイヨウ</t>
    </rPh>
    <phoneticPr fontId="2"/>
  </si>
  <si>
    <t>1ヶ月かけて潜在溶岩ドームがWe Pillán火口全体に広がり200m以上隆起</t>
    <rPh sb="2" eb="3">
      <t>ゲツ</t>
    </rPh>
    <rPh sb="6" eb="10">
      <t>センザイヨウガン</t>
    </rPh>
    <rPh sb="25" eb="27">
      <t>ゼンタイ</t>
    </rPh>
    <rPh sb="28" eb="29">
      <t>ヒロ</t>
    </rPh>
    <rPh sb="35" eb="37">
      <t>イジョウ</t>
    </rPh>
    <rPh sb="37" eb="39">
      <t>リュウキ</t>
    </rPh>
    <phoneticPr fontId="2"/>
  </si>
  <si>
    <t>Phase 1</t>
    <phoneticPr fontId="2"/>
  </si>
  <si>
    <t>時刻不詳。噴火開始。噴煙高度数kmの灰噴火が続く。溶岩ドーム崩落による火砕流が発生した。</t>
    <rPh sb="0" eb="2">
      <t>ジコク</t>
    </rPh>
    <rPh sb="2" eb="4">
      <t>フショウ</t>
    </rPh>
    <rPh sb="5" eb="7">
      <t>フンカ</t>
    </rPh>
    <rPh sb="7" eb="9">
      <t>カイシ</t>
    </rPh>
    <rPh sb="10" eb="12">
      <t>フンエン</t>
    </rPh>
    <rPh sb="12" eb="14">
      <t>コウド</t>
    </rPh>
    <rPh sb="14" eb="15">
      <t>スウ</t>
    </rPh>
    <rPh sb="18" eb="21">
      <t>ハイフンカ</t>
    </rPh>
    <rPh sb="22" eb="23">
      <t>ツヅ</t>
    </rPh>
    <rPh sb="25" eb="27">
      <t>ヨウガン</t>
    </rPh>
    <rPh sb="30" eb="32">
      <t>ホウラク</t>
    </rPh>
    <rPh sb="35" eb="38">
      <t>カサイリュウ</t>
    </rPh>
    <rPh sb="39" eb="41">
      <t>ハッセイ</t>
    </rPh>
    <phoneticPr fontId="2"/>
  </si>
  <si>
    <t>噴火強度が高まり噴煙柱高度も増大、噴煙柱の部分的崩壊による火砕流が発生し11kmまで到達。</t>
    <rPh sb="0" eb="2">
      <t>フンカ</t>
    </rPh>
    <rPh sb="2" eb="4">
      <t>キョウド</t>
    </rPh>
    <rPh sb="5" eb="6">
      <t>タカ</t>
    </rPh>
    <rPh sb="8" eb="11">
      <t>フンエンチュウ</t>
    </rPh>
    <rPh sb="11" eb="13">
      <t>コウド</t>
    </rPh>
    <rPh sb="14" eb="16">
      <t>ゾウダイ</t>
    </rPh>
    <rPh sb="17" eb="19">
      <t>フンエン</t>
    </rPh>
    <rPh sb="19" eb="20">
      <t>ハシラ</t>
    </rPh>
    <rPh sb="21" eb="24">
      <t>ブブンテキ</t>
    </rPh>
    <rPh sb="24" eb="26">
      <t>ホウカイ</t>
    </rPh>
    <rPh sb="29" eb="32">
      <t>カサイリュウ</t>
    </rPh>
    <rPh sb="33" eb="35">
      <t>ハッセイ</t>
    </rPh>
    <rPh sb="42" eb="44">
      <t>トウタツ</t>
    </rPh>
    <phoneticPr fontId="2"/>
  </si>
  <si>
    <t>噴火停止</t>
    <rPh sb="0" eb="2">
      <t>フンカ</t>
    </rPh>
    <rPh sb="2" eb="4">
      <t>テイシ</t>
    </rPh>
    <phoneticPr fontId="2"/>
  </si>
  <si>
    <t>プリニー式噴火の開始。噴煙柱高度は23km、火砕流15km。</t>
    <rPh sb="4" eb="7">
      <t>シキフンカ</t>
    </rPh>
    <rPh sb="8" eb="10">
      <t>カイシ</t>
    </rPh>
    <rPh sb="11" eb="16">
      <t>フンエンバシラコウド</t>
    </rPh>
    <rPh sb="22" eb="25">
      <t>カサイリュウ</t>
    </rPh>
    <phoneticPr fontId="2"/>
  </si>
  <si>
    <t>小規模な火砕流が発生。噴火の終わり。</t>
    <rPh sb="0" eb="3">
      <t>ショウキボ</t>
    </rPh>
    <rPh sb="4" eb="7">
      <t>カサイリュウ</t>
    </rPh>
    <rPh sb="8" eb="10">
      <t>ハッセイ</t>
    </rPh>
    <rPh sb="11" eb="13">
      <t>フンカ</t>
    </rPh>
    <rPh sb="14" eb="15">
      <t>オ</t>
    </rPh>
    <phoneticPr fontId="2"/>
  </si>
  <si>
    <t>噴火</t>
    <rPh sb="0" eb="2">
      <t>フンカ</t>
    </rPh>
    <phoneticPr fontId="2"/>
  </si>
  <si>
    <t>地殻変動</t>
    <rPh sb="0" eb="4">
      <t>チカクヘンドウ</t>
    </rPh>
    <phoneticPr fontId="2"/>
  </si>
  <si>
    <t>Y</t>
    <phoneticPr fontId="2"/>
  </si>
  <si>
    <t>M</t>
    <phoneticPr fontId="2"/>
  </si>
  <si>
    <t>D</t>
    <phoneticPr fontId="2"/>
  </si>
  <si>
    <t>h</t>
    <phoneticPr fontId="2"/>
  </si>
  <si>
    <t>m</t>
    <phoneticPr fontId="2"/>
  </si>
  <si>
    <t>Unix秒</t>
    <rPh sb="4" eb="5">
      <t>ビョウ</t>
    </rPh>
    <phoneticPr fontId="2"/>
  </si>
  <si>
    <t>時刻不詳: 朝、住民が爆発音を聴く。時間が経つにつれより大きく頻繁に。</t>
    <rPh sb="0" eb="2">
      <t>ジコク</t>
    </rPh>
    <rPh sb="2" eb="4">
      <t>フショウ</t>
    </rPh>
    <rPh sb="6" eb="7">
      <t>アサ</t>
    </rPh>
    <rPh sb="8" eb="10">
      <t>ジュウミン</t>
    </rPh>
    <rPh sb="11" eb="14">
      <t>バクハツオン</t>
    </rPh>
    <rPh sb="15" eb="16">
      <t>キ</t>
    </rPh>
    <rPh sb="18" eb="20">
      <t>ジカン</t>
    </rPh>
    <rPh sb="21" eb="22">
      <t>タ</t>
    </rPh>
    <rPh sb="28" eb="29">
      <t>オオ</t>
    </rPh>
    <rPh sb="31" eb="33">
      <t>ヒンパン</t>
    </rPh>
    <phoneticPr fontId="2"/>
  </si>
  <si>
    <t>グラフ種別</t>
    <rPh sb="3" eb="5">
      <t>シュベツ</t>
    </rPh>
    <phoneticPr fontId="2"/>
  </si>
  <si>
    <t>溶岩の噴出終了?</t>
    <rPh sb="0" eb="2">
      <t>ヨウガン</t>
    </rPh>
    <rPh sb="3" eb="5">
      <t>フンシュツ</t>
    </rPh>
    <rPh sb="5" eb="7">
      <t>シュウリョウ</t>
    </rPh>
    <phoneticPr fontId="2"/>
  </si>
  <si>
    <t>ピーク噴火開始までの時間log10</t>
    <rPh sb="3" eb="7">
      <t>フンカカイシ</t>
    </rPh>
    <rPh sb="10" eb="12">
      <t>ジカン</t>
    </rPh>
    <phoneticPr fontId="2"/>
  </si>
  <si>
    <t>VUC</t>
    <phoneticPr fontId="2"/>
  </si>
  <si>
    <t>日時要確認。噴煙柱高度12kmが3回、溶岩ドームも形成。</t>
    <rPh sb="0" eb="2">
      <t>ニチジ</t>
    </rPh>
    <rPh sb="2" eb="5">
      <t>ヨウカクニン</t>
    </rPh>
    <rPh sb="6" eb="8">
      <t>フンエン</t>
    </rPh>
    <rPh sb="8" eb="9">
      <t>バシラ</t>
    </rPh>
    <rPh sb="9" eb="11">
      <t>コウド</t>
    </rPh>
    <rPh sb="17" eb="18">
      <t>カイ</t>
    </rPh>
    <rPh sb="19" eb="21">
      <t>ヨウガン</t>
    </rPh>
    <rPh sb="25" eb="27">
      <t>ケイセイ</t>
    </rPh>
    <phoneticPr fontId="2"/>
  </si>
  <si>
    <t>日時要確認。噴気活動の活発化。</t>
    <rPh sb="0" eb="5">
      <t>ニチジヨウカクニン</t>
    </rPh>
    <rPh sb="6" eb="8">
      <t>フンキ</t>
    </rPh>
    <rPh sb="8" eb="10">
      <t>カツドウ</t>
    </rPh>
    <rPh sb="11" eb="14">
      <t>カッパツカ</t>
    </rPh>
    <phoneticPr fontId="2"/>
  </si>
  <si>
    <t>地震活動の高まり</t>
    <rPh sb="0" eb="4">
      <t>ジシンカツドウ</t>
    </rPh>
    <rPh sb="5" eb="6">
      <t>タカ</t>
    </rPh>
    <phoneticPr fontId="2"/>
  </si>
  <si>
    <t>熱異常が観測</t>
    <rPh sb="0" eb="1">
      <t>ネツ</t>
    </rPh>
    <rPh sb="1" eb="3">
      <t>イジョウ</t>
    </rPh>
    <rPh sb="4" eb="6">
      <t>カンソク</t>
    </rPh>
    <phoneticPr fontId="2"/>
  </si>
  <si>
    <t>この頃VTTS大規模火砕流の噴出</t>
    <rPh sb="2" eb="3">
      <t>コロ</t>
    </rPh>
    <rPh sb="7" eb="10">
      <t>ダイキボ</t>
    </rPh>
    <rPh sb="10" eb="13">
      <t>カサイリュウ</t>
    </rPh>
    <rPh sb="14" eb="16">
      <t>フンシュツ</t>
    </rPh>
    <phoneticPr fontId="2"/>
  </si>
  <si>
    <t>時間誤差</t>
    <rPh sb="0" eb="2">
      <t>ジカン</t>
    </rPh>
    <rPh sb="2" eb="4">
      <t>ゴサ</t>
    </rPh>
    <phoneticPr fontId="2"/>
  </si>
  <si>
    <t>時間長</t>
    <rPh sb="0" eb="2">
      <t>ジカン</t>
    </rPh>
    <rPh sb="2" eb="3">
      <t>ナガ</t>
    </rPh>
    <phoneticPr fontId="2"/>
  </si>
  <si>
    <t>火山</t>
    <rPh sb="0" eb="2">
      <t>カザン</t>
    </rPh>
    <phoneticPr fontId="2"/>
  </si>
  <si>
    <t>現象種別</t>
    <rPh sb="0" eb="2">
      <t>ゲンショウ</t>
    </rPh>
    <rPh sb="2" eb="4">
      <t>シュベツ</t>
    </rPh>
    <phoneticPr fontId="2"/>
  </si>
  <si>
    <t>UTC</t>
    <phoneticPr fontId="2"/>
  </si>
  <si>
    <t>噴煙柱高度15 km、1.76×10-7 kg/s</t>
    <rPh sb="0" eb="2">
      <t>フンエン</t>
    </rPh>
    <rPh sb="2" eb="3">
      <t>チュウ</t>
    </rPh>
    <rPh sb="3" eb="5">
      <t>コウド</t>
    </rPh>
    <phoneticPr fontId="2"/>
  </si>
  <si>
    <t>Phase 1 (J.E. Romero et al. 2015)</t>
    <phoneticPr fontId="2"/>
  </si>
  <si>
    <t>地震活動の活発化</t>
    <rPh sb="0" eb="2">
      <t>ジシン</t>
    </rPh>
    <rPh sb="2" eb="4">
      <t>カツドウ</t>
    </rPh>
    <rPh sb="5" eb="8">
      <t>カッパツカ</t>
    </rPh>
    <phoneticPr fontId="2"/>
  </si>
  <si>
    <t>噴煙柱高度18-20 km、2.19×10^7 kg/s</t>
    <rPh sb="0" eb="2">
      <t>フンエン</t>
    </rPh>
    <rPh sb="2" eb="3">
      <t>チュウ</t>
    </rPh>
    <rPh sb="3" eb="5">
      <t>コウド</t>
    </rPh>
    <phoneticPr fontId="2"/>
  </si>
  <si>
    <t>Phase 2</t>
    <phoneticPr fontId="2"/>
  </si>
  <si>
    <t>噴煙高度2km以下</t>
    <rPh sb="0" eb="2">
      <t>フンエン</t>
    </rPh>
    <rPh sb="2" eb="4">
      <t>コウド</t>
    </rPh>
    <rPh sb="7" eb="9">
      <t>イカ</t>
    </rPh>
    <phoneticPr fontId="2"/>
  </si>
  <si>
    <t>一時的に噴煙高度4km</t>
    <rPh sb="0" eb="3">
      <t>イチジテキ</t>
    </rPh>
    <rPh sb="4" eb="6">
      <t>フンエン</t>
    </rPh>
    <rPh sb="6" eb="8">
      <t>コウド</t>
    </rPh>
    <phoneticPr fontId="2"/>
  </si>
  <si>
    <t>地震活動が活発化</t>
    <rPh sb="0" eb="2">
      <t>ジシン</t>
    </rPh>
    <rPh sb="2" eb="4">
      <t>カツドウ</t>
    </rPh>
    <rPh sb="5" eb="8">
      <t>カッパツカ</t>
    </rPh>
    <phoneticPr fontId="2"/>
  </si>
  <si>
    <t>地震活動が非常に活発化</t>
    <rPh sb="0" eb="2">
      <t>ジシン</t>
    </rPh>
    <rPh sb="2" eb="4">
      <t>カツドウ</t>
    </rPh>
    <rPh sb="5" eb="7">
      <t>ヒジョウ</t>
    </rPh>
    <rPh sb="8" eb="11">
      <t>カッパツカ</t>
    </rPh>
    <phoneticPr fontId="2"/>
  </si>
  <si>
    <t>強いブルカノ式噴火を開始。11月まで連続的に継続。火災物総体積0.4-0.5 km3</t>
    <rPh sb="0" eb="1">
      <t>ツヨ</t>
    </rPh>
    <rPh sb="6" eb="7">
      <t>シキ</t>
    </rPh>
    <rPh sb="7" eb="9">
      <t>フンカ</t>
    </rPh>
    <rPh sb="10" eb="12">
      <t>カイシ</t>
    </rPh>
    <rPh sb="15" eb="16">
      <t>ガツ</t>
    </rPh>
    <rPh sb="18" eb="21">
      <t>レンゾクテキ</t>
    </rPh>
    <rPh sb="22" eb="24">
      <t>ケイゾク</t>
    </rPh>
    <rPh sb="25" eb="27">
      <t>カサイ</t>
    </rPh>
    <rPh sb="27" eb="28">
      <t>ブツ</t>
    </rPh>
    <rPh sb="28" eb="29">
      <t>ソウ</t>
    </rPh>
    <rPh sb="29" eb="31">
      <t>タイセキ</t>
    </rPh>
    <phoneticPr fontId="2"/>
  </si>
  <si>
    <t>山体の東部が隆起開始</t>
    <rPh sb="0" eb="2">
      <t>サンタイ</t>
    </rPh>
    <rPh sb="3" eb="5">
      <t>トウブ</t>
    </rPh>
    <rPh sb="6" eb="8">
      <t>リュウキ</t>
    </rPh>
    <rPh sb="8" eb="10">
      <t>カイシ</t>
    </rPh>
    <phoneticPr fontId="2"/>
  </si>
  <si>
    <t>爆発的噴火の衰え</t>
    <rPh sb="0" eb="3">
      <t>バクハツテキ</t>
    </rPh>
    <rPh sb="3" eb="5">
      <t>フンカ</t>
    </rPh>
    <rPh sb="6" eb="7">
      <t>オトロ</t>
    </rPh>
    <phoneticPr fontId="2"/>
  </si>
  <si>
    <t>ブラストとともに山体崩壊</t>
    <rPh sb="8" eb="10">
      <t>サンタイ</t>
    </rPh>
    <rPh sb="10" eb="12">
      <t>ホウカイ</t>
    </rPh>
    <phoneticPr fontId="2"/>
  </si>
  <si>
    <t>日時不詳 アイスランド東リフトゾーン北部でM7クラスの地震</t>
    <rPh sb="0" eb="2">
      <t>ニチジ</t>
    </rPh>
    <rPh sb="2" eb="4">
      <t>フショウ</t>
    </rPh>
    <rPh sb="11" eb="12">
      <t>ヒガシ</t>
    </rPh>
    <rPh sb="18" eb="20">
      <t>ホクブ</t>
    </rPh>
    <rPh sb="27" eb="29">
      <t>ジシン</t>
    </rPh>
    <phoneticPr fontId="2"/>
  </si>
  <si>
    <t>激しい水蒸気の噴出が目撃される</t>
    <rPh sb="0" eb="1">
      <t>ハゲ</t>
    </rPh>
    <rPh sb="3" eb="6">
      <t>スイジョウキ</t>
    </rPh>
    <rPh sb="7" eb="9">
      <t>フンシュツ</t>
    </rPh>
    <rPh sb="10" eb="12">
      <t>モクゲキ</t>
    </rPh>
    <phoneticPr fontId="2"/>
  </si>
  <si>
    <t>南に50km離れたSveinagjaで地割れが発生</t>
    <rPh sb="0" eb="1">
      <t>ミナミ</t>
    </rPh>
    <rPh sb="6" eb="7">
      <t>ハナ</t>
    </rPh>
    <rPh sb="19" eb="21">
      <t>ジワ</t>
    </rPh>
    <rPh sb="23" eb="25">
      <t>ハッセイ</t>
    </rPh>
    <phoneticPr fontId="2"/>
  </si>
  <si>
    <t>リフトゾーン北部で地震活動が活発化。Vatnajokullで噴火があった?</t>
    <rPh sb="6" eb="8">
      <t>ホクブ</t>
    </rPh>
    <rPh sb="9" eb="11">
      <t>ジシン</t>
    </rPh>
    <rPh sb="11" eb="13">
      <t>カツドウ</t>
    </rPh>
    <rPh sb="14" eb="17">
      <t>カッパツカ</t>
    </rPh>
    <rPh sb="30" eb="32">
      <t>フンカ</t>
    </rPh>
    <phoneticPr fontId="2"/>
  </si>
  <si>
    <t>地震活動の増大。アイスランド北部で広く有感。</t>
    <rPh sb="0" eb="2">
      <t>ジシン</t>
    </rPh>
    <rPh sb="2" eb="4">
      <t>カツドウ</t>
    </rPh>
    <rPh sb="5" eb="7">
      <t>ゾウダイ</t>
    </rPh>
    <rPh sb="14" eb="16">
      <t>ホクブ</t>
    </rPh>
    <rPh sb="17" eb="18">
      <t>ヒロ</t>
    </rPh>
    <rPh sb="19" eb="21">
      <t>ユウカン</t>
    </rPh>
    <phoneticPr fontId="2"/>
  </si>
  <si>
    <t>Askjaから噴煙があがっているのが目撃</t>
    <rPh sb="7" eb="9">
      <t>フンエン</t>
    </rPh>
    <rPh sb="18" eb="20">
      <t>モクゲキ</t>
    </rPh>
    <phoneticPr fontId="2"/>
  </si>
  <si>
    <t>地震活動のピーク</t>
    <rPh sb="0" eb="2">
      <t>ジシン</t>
    </rPh>
    <rPh sb="2" eb="4">
      <t>カツドウ</t>
    </rPh>
    <phoneticPr fontId="2"/>
  </si>
  <si>
    <t>Askjaから噴煙があがっているのが目撃南東縁に開口した火口が目撃。火口の西側200mでは3.5ヘクタールが10m陥没。陥没領域の南部では別の火口があり小規模な溶岩流がみられた</t>
    <rPh sb="7" eb="9">
      <t>フンエン</t>
    </rPh>
    <rPh sb="18" eb="20">
      <t>モクゲキ</t>
    </rPh>
    <rPh sb="20" eb="22">
      <t>ナントウ</t>
    </rPh>
    <rPh sb="22" eb="23">
      <t>エン</t>
    </rPh>
    <rPh sb="24" eb="26">
      <t>カイコウ</t>
    </rPh>
    <rPh sb="28" eb="30">
      <t>カコウ</t>
    </rPh>
    <rPh sb="31" eb="33">
      <t>モクゲキ</t>
    </rPh>
    <rPh sb="34" eb="36">
      <t>カコウ</t>
    </rPh>
    <rPh sb="37" eb="39">
      <t>ニシガワ</t>
    </rPh>
    <rPh sb="57" eb="59">
      <t>カンボツ</t>
    </rPh>
    <rPh sb="60" eb="62">
      <t>カンボツ</t>
    </rPh>
    <rPh sb="62" eb="64">
      <t>リョウイキ</t>
    </rPh>
    <rPh sb="65" eb="67">
      <t>ナンブ</t>
    </rPh>
    <rPh sb="69" eb="70">
      <t>ベツ</t>
    </rPh>
    <rPh sb="71" eb="73">
      <t>カコウ</t>
    </rPh>
    <rPh sb="76" eb="79">
      <t>ショウキボ</t>
    </rPh>
    <rPh sb="80" eb="83">
      <t>ヨウガンリュウ</t>
    </rPh>
    <phoneticPr fontId="2"/>
  </si>
  <si>
    <t>Askja南方70kmでSveinagja割れ目噴火。2-5kmの割れ目から10^6 m3の溶岩が流出。</t>
    <rPh sb="5" eb="7">
      <t>ナンポウ</t>
    </rPh>
    <rPh sb="21" eb="22">
      <t>ワ</t>
    </rPh>
    <rPh sb="23" eb="24">
      <t>メ</t>
    </rPh>
    <rPh sb="24" eb="26">
      <t>フンカ</t>
    </rPh>
    <rPh sb="33" eb="34">
      <t>ワ</t>
    </rPh>
    <rPh sb="35" eb="36">
      <t>メ</t>
    </rPh>
    <rPh sb="46" eb="48">
      <t>ヨウガン</t>
    </rPh>
    <rPh sb="49" eb="51">
      <t>リュウシュツ</t>
    </rPh>
    <phoneticPr fontId="2"/>
  </si>
  <si>
    <t>Sveinagja北1.5kmで割れ目噴火。23日にピーク。</t>
    <rPh sb="9" eb="10">
      <t>キタ</t>
    </rPh>
    <rPh sb="16" eb="17">
      <t>ワ</t>
    </rPh>
    <rPh sb="18" eb="19">
      <t>メ</t>
    </rPh>
    <rPh sb="19" eb="21">
      <t>フンカ</t>
    </rPh>
    <rPh sb="24" eb="25">
      <t>ニチ</t>
    </rPh>
    <phoneticPr fontId="2"/>
  </si>
  <si>
    <t>Askjaから黒煙が上昇。クライマックス噴火の開始。</t>
  </si>
  <si>
    <t>Askjaの50km東方で降下火山灰</t>
    <rPh sb="10" eb="12">
      <t>トウホウ</t>
    </rPh>
    <rPh sb="13" eb="15">
      <t>コウカ</t>
    </rPh>
    <rPh sb="15" eb="18">
      <t>カザンバイ</t>
    </rPh>
    <phoneticPr fontId="2"/>
  </si>
  <si>
    <t>Askja東方で激しい効果軽石。ブラックアウト。12時ごろに終了。</t>
    <rPh sb="5" eb="7">
      <t>トウホウ</t>
    </rPh>
    <rPh sb="8" eb="9">
      <t>ハゲ</t>
    </rPh>
    <rPh sb="11" eb="13">
      <t>コウカ</t>
    </rPh>
    <rPh sb="13" eb="15">
      <t>カルイシ</t>
    </rPh>
    <rPh sb="26" eb="27">
      <t>ジ</t>
    </rPh>
    <rPh sb="30" eb="32">
      <t>シュウリョウ</t>
    </rPh>
    <phoneticPr fontId="2"/>
  </si>
  <si>
    <t>日時不詳。小規模な爆発が5-7日の間隔をおいて発生した。</t>
    <rPh sb="0" eb="2">
      <t>ニチジ</t>
    </rPh>
    <rPh sb="2" eb="4">
      <t>フショウ</t>
    </rPh>
    <rPh sb="5" eb="8">
      <t>ショウキボ</t>
    </rPh>
    <rPh sb="9" eb="11">
      <t>バクハツ</t>
    </rPh>
    <rPh sb="15" eb="16">
      <t>ニチ</t>
    </rPh>
    <rPh sb="17" eb="19">
      <t>カンカク</t>
    </rPh>
    <rPh sb="23" eb="25">
      <t>ハッセイ</t>
    </rPh>
    <phoneticPr fontId="2"/>
  </si>
  <si>
    <t>Sveinagja割れ目噴火の再活動</t>
    <rPh sb="9" eb="10">
      <t>ワ</t>
    </rPh>
    <rPh sb="11" eb="12">
      <t>メ</t>
    </rPh>
    <rPh sb="12" eb="14">
      <t>フンカ</t>
    </rPh>
    <rPh sb="15" eb="18">
      <t>サイカツドウ</t>
    </rPh>
    <phoneticPr fontId="2"/>
  </si>
  <si>
    <t>Askjaで小爆発</t>
    <rPh sb="6" eb="9">
      <t>ショウバクハツ</t>
    </rPh>
    <phoneticPr fontId="2"/>
  </si>
  <si>
    <t>有感地震</t>
    <rPh sb="0" eb="2">
      <t>ユウカン</t>
    </rPh>
    <rPh sb="2" eb="4">
      <t>ジシン</t>
    </rPh>
    <phoneticPr fontId="2"/>
  </si>
  <si>
    <t>Sveinagja割れ目噴火の再活動 期間不詳</t>
    <rPh sb="9" eb="10">
      <t>ワ</t>
    </rPh>
    <rPh sb="11" eb="12">
      <t>メ</t>
    </rPh>
    <rPh sb="12" eb="14">
      <t>フンカ</t>
    </rPh>
    <rPh sb="15" eb="18">
      <t>サイカツドウ</t>
    </rPh>
    <rPh sb="19" eb="21">
      <t>キカン</t>
    </rPh>
    <rPh sb="21" eb="23">
      <t>フショウ</t>
    </rPh>
    <phoneticPr fontId="2"/>
  </si>
  <si>
    <t>地震活動 ~M3.1</t>
    <rPh sb="0" eb="2">
      <t>ジシン</t>
    </rPh>
    <rPh sb="2" eb="4">
      <t>カツドウ</t>
    </rPh>
    <phoneticPr fontId="2"/>
  </si>
  <si>
    <t>ハーモニック微動の出現。氷底噴火開始</t>
    <rPh sb="6" eb="8">
      <t>ビドウ</t>
    </rPh>
    <rPh sb="9" eb="11">
      <t>シュツゲン</t>
    </rPh>
    <rPh sb="12" eb="14">
      <t>ヒョウテイ</t>
    </rPh>
    <rPh sb="14" eb="16">
      <t>フンカ</t>
    </rPh>
    <rPh sb="16" eb="18">
      <t>カイシ</t>
    </rPh>
    <phoneticPr fontId="2"/>
  </si>
  <si>
    <t>噴煙柱高度20km。およそ30時間継続。</t>
    <rPh sb="0" eb="2">
      <t>フンエン</t>
    </rPh>
    <rPh sb="2" eb="3">
      <t>チュウ</t>
    </rPh>
    <rPh sb="3" eb="5">
      <t>コウド</t>
    </rPh>
    <rPh sb="15" eb="17">
      <t>ジカン</t>
    </rPh>
    <rPh sb="17" eb="19">
      <t>ケイゾク</t>
    </rPh>
    <phoneticPr fontId="2"/>
  </si>
  <si>
    <t>Hreinsdottir et al. (2014)</t>
    <phoneticPr fontId="2"/>
  </si>
  <si>
    <t>Icelandic Met Office (2011)</t>
    <phoneticPr fontId="2"/>
  </si>
  <si>
    <t>非連続的。噴煙高度4.5 km。火山弾飛翔。タフリングが形成。</t>
    <rPh sb="0" eb="4">
      <t>ヒレンゾクテキ</t>
    </rPh>
    <rPh sb="5" eb="7">
      <t>フンエン</t>
    </rPh>
    <rPh sb="7" eb="9">
      <t>コウド</t>
    </rPh>
    <rPh sb="16" eb="19">
      <t>カザンダン</t>
    </rPh>
    <rPh sb="19" eb="21">
      <t>ヒショウ</t>
    </rPh>
    <rPh sb="28" eb="30">
      <t>ケイセイ</t>
    </rPh>
    <phoneticPr fontId="2"/>
  </si>
  <si>
    <t>連続微動の停止。噴火の終了。</t>
    <rPh sb="0" eb="2">
      <t>レンゾク</t>
    </rPh>
    <rPh sb="2" eb="4">
      <t>ビドウ</t>
    </rPh>
    <rPh sb="5" eb="7">
      <t>テイシ</t>
    </rPh>
    <rPh sb="8" eb="10">
      <t>フンカ</t>
    </rPh>
    <rPh sb="11" eb="13">
      <t>シュウリョウ</t>
    </rPh>
    <phoneticPr fontId="2"/>
  </si>
  <si>
    <t>日時不詳。この頃ヨークルフロイプ 3.2 km3</t>
    <rPh sb="0" eb="2">
      <t>ニチジ</t>
    </rPh>
    <rPh sb="2" eb="4">
      <t>フショウ</t>
    </rPh>
    <rPh sb="7" eb="8">
      <t>コロ</t>
    </rPh>
    <phoneticPr fontId="2"/>
  </si>
  <si>
    <t>日時不詳。この頃ヨークルフロイプ 2.4 km3</t>
    <rPh sb="0" eb="2">
      <t>ニチジ</t>
    </rPh>
    <rPh sb="2" eb="4">
      <t>フショウ</t>
    </rPh>
    <rPh sb="7" eb="8">
      <t>コロ</t>
    </rPh>
    <phoneticPr fontId="2"/>
  </si>
  <si>
    <t>ヨークルフロイプ 1.3 km3</t>
    <phoneticPr fontId="2"/>
  </si>
  <si>
    <t>Global Volcanism Program (1972)</t>
    <phoneticPr fontId="2"/>
  </si>
  <si>
    <t>Global Volcanism Program (1982)</t>
    <phoneticPr fontId="2"/>
  </si>
  <si>
    <t>Global Volcanism Program (1983)</t>
    <phoneticPr fontId="2"/>
  </si>
  <si>
    <t>最大M3-3.5の激しい地震活動</t>
    <rPh sb="0" eb="2">
      <t>サイダイ</t>
    </rPh>
    <rPh sb="9" eb="10">
      <t>ハゲ</t>
    </rPh>
    <rPh sb="12" eb="14">
      <t>ジシン</t>
    </rPh>
    <rPh sb="14" eb="16">
      <t>カツドウ</t>
    </rPh>
    <phoneticPr fontId="2"/>
  </si>
  <si>
    <t>連続微動の振幅がピーク</t>
    <rPh sb="0" eb="2">
      <t>レンゾク</t>
    </rPh>
    <rPh sb="2" eb="4">
      <t>ビドウ</t>
    </rPh>
    <rPh sb="5" eb="7">
      <t>シンプク</t>
    </rPh>
    <phoneticPr fontId="2"/>
  </si>
  <si>
    <t>氷を割って噴火が起きている様子が飛行機から観察される</t>
    <rPh sb="0" eb="1">
      <t>コオリ</t>
    </rPh>
    <rPh sb="2" eb="3">
      <t>ワ</t>
    </rPh>
    <rPh sb="5" eb="7">
      <t>フンカ</t>
    </rPh>
    <rPh sb="8" eb="9">
      <t>オ</t>
    </rPh>
    <rPh sb="13" eb="15">
      <t>ヨウス</t>
    </rPh>
    <rPh sb="16" eb="19">
      <t>ヒコウキ</t>
    </rPh>
    <rPh sb="21" eb="23">
      <t>カンサツ</t>
    </rPh>
    <phoneticPr fontId="2"/>
  </si>
  <si>
    <t>噴煙が観察される</t>
    <rPh sb="0" eb="2">
      <t>フンエン</t>
    </rPh>
    <rPh sb="3" eb="5">
      <t>カンサツ</t>
    </rPh>
    <phoneticPr fontId="2"/>
  </si>
  <si>
    <t>気象衛星に噴煙がとらえられる</t>
    <rPh sb="0" eb="2">
      <t>キショウ</t>
    </rPh>
    <rPh sb="2" eb="4">
      <t>エイセイ</t>
    </rPh>
    <rPh sb="5" eb="7">
      <t>フンエン</t>
    </rPh>
    <phoneticPr fontId="2"/>
  </si>
  <si>
    <t>噴煙高度 最高6-7 km</t>
    <rPh sb="0" eb="2">
      <t>フンエン</t>
    </rPh>
    <rPh sb="2" eb="4">
      <t>コウド</t>
    </rPh>
    <rPh sb="5" eb="7">
      <t>サイコウ</t>
    </rPh>
    <phoneticPr fontId="2"/>
  </si>
  <si>
    <t>噴煙高度 最高7-8 km</t>
    <rPh sb="0" eb="2">
      <t>フンエン</t>
    </rPh>
    <rPh sb="2" eb="4">
      <t>コウド</t>
    </rPh>
    <rPh sb="5" eb="7">
      <t>サイコウ</t>
    </rPh>
    <phoneticPr fontId="2"/>
  </si>
  <si>
    <t>噴煙高度 最高5 km 不連続 これ以降活動なし</t>
    <rPh sb="0" eb="2">
      <t>フンエン</t>
    </rPh>
    <rPh sb="2" eb="4">
      <t>コウド</t>
    </rPh>
    <rPh sb="5" eb="7">
      <t>サイコウ</t>
    </rPh>
    <rPh sb="12" eb="15">
      <t>フレンゾク</t>
    </rPh>
    <rPh sb="18" eb="20">
      <t>イコウ</t>
    </rPh>
    <rPh sb="20" eb="22">
      <t>カツドウ</t>
    </rPh>
    <phoneticPr fontId="2"/>
  </si>
  <si>
    <t>湯気を上げる池と島が目撃される</t>
    <rPh sb="0" eb="2">
      <t>ユゲ</t>
    </rPh>
    <rPh sb="3" eb="4">
      <t>ア</t>
    </rPh>
    <rPh sb="6" eb="7">
      <t>イケ</t>
    </rPh>
    <rPh sb="8" eb="9">
      <t>シマ</t>
    </rPh>
    <rPh sb="10" eb="12">
      <t>モクゲキ</t>
    </rPh>
    <phoneticPr fontId="2"/>
  </si>
  <si>
    <t>Ms 5.4 地震がBardarbungaカルデラ北縁で起こる。異例の余震活動を伴う。</t>
    <rPh sb="7" eb="9">
      <t>ジシン</t>
    </rPh>
    <rPh sb="25" eb="26">
      <t>ホク</t>
    </rPh>
    <rPh sb="26" eb="27">
      <t>エン</t>
    </rPh>
    <rPh sb="28" eb="29">
      <t>オ</t>
    </rPh>
    <rPh sb="32" eb="34">
      <t>イレイ</t>
    </rPh>
    <rPh sb="35" eb="37">
      <t>ヨシン</t>
    </rPh>
    <rPh sb="37" eb="39">
      <t>カツドウ</t>
    </rPh>
    <rPh sb="40" eb="41">
      <t>トモナ</t>
    </rPh>
    <phoneticPr fontId="2"/>
  </si>
  <si>
    <t>Grimsvotnでの地震活動が止まり、連続微動の開始。</t>
    <rPh sb="11" eb="13">
      <t>ジシン</t>
    </rPh>
    <rPh sb="13" eb="15">
      <t>カツドウ</t>
    </rPh>
    <rPh sb="16" eb="17">
      <t>ト</t>
    </rPh>
    <rPh sb="20" eb="22">
      <t>レンゾク</t>
    </rPh>
    <rPh sb="22" eb="24">
      <t>ビドウ</t>
    </rPh>
    <rPh sb="25" eb="27">
      <t>カイシ</t>
    </rPh>
    <phoneticPr fontId="2"/>
  </si>
  <si>
    <t>噴火の開始</t>
    <rPh sb="0" eb="2">
      <t>フンカ</t>
    </rPh>
    <rPh sb="3" eb="5">
      <t>カイシ</t>
    </rPh>
    <phoneticPr fontId="2"/>
  </si>
  <si>
    <t>激しい連続微動。</t>
    <rPh sb="0" eb="1">
      <t>ハゲ</t>
    </rPh>
    <rPh sb="3" eb="7">
      <t>レンゾクビドウ</t>
    </rPh>
    <phoneticPr fontId="2"/>
  </si>
  <si>
    <t>地震活動が徐々に活発化。最大M3。Bardarbunga北部からGrimsvotnへ震源域が移動。</t>
    <rPh sb="0" eb="2">
      <t>ジシン</t>
    </rPh>
    <rPh sb="2" eb="4">
      <t>カツドウ</t>
    </rPh>
    <rPh sb="5" eb="7">
      <t>ジョジョ</t>
    </rPh>
    <rPh sb="8" eb="11">
      <t>カッパツカ</t>
    </rPh>
    <rPh sb="12" eb="14">
      <t>サイダイ</t>
    </rPh>
    <rPh sb="28" eb="30">
      <t>ホクブ</t>
    </rPh>
    <rPh sb="42" eb="45">
      <t>シンゲンイキ</t>
    </rPh>
    <rPh sb="46" eb="48">
      <t>イドウ</t>
    </rPh>
    <phoneticPr fontId="2"/>
  </si>
  <si>
    <t>2つの幅1-2km走向N23Eの陥没域がGrimsvotnの北山麓、氷の厚さが450mの場所に出現。北端では4時間で50m陥没した。</t>
    <rPh sb="3" eb="4">
      <t>ハバ</t>
    </rPh>
    <rPh sb="9" eb="11">
      <t>ソウコウ</t>
    </rPh>
    <rPh sb="16" eb="18">
      <t>カンボツ</t>
    </rPh>
    <rPh sb="18" eb="19">
      <t>イキ</t>
    </rPh>
    <rPh sb="30" eb="31">
      <t>キタ</t>
    </rPh>
    <rPh sb="31" eb="33">
      <t>サンロク</t>
    </rPh>
    <rPh sb="34" eb="35">
      <t>コオリ</t>
    </rPh>
    <rPh sb="36" eb="37">
      <t>アツ</t>
    </rPh>
    <rPh sb="44" eb="46">
      <t>バショ</t>
    </rPh>
    <rPh sb="47" eb="49">
      <t>シュツゲン</t>
    </rPh>
    <rPh sb="50" eb="52">
      <t>ホクタン</t>
    </rPh>
    <rPh sb="55" eb="57">
      <t>ジカン</t>
    </rPh>
    <rPh sb="61" eb="63">
      <t>カンボツ</t>
    </rPh>
    <phoneticPr fontId="2"/>
  </si>
  <si>
    <t>火口が氷の上に達し地上での噴火が始まった</t>
    <rPh sb="0" eb="2">
      <t>カコウ</t>
    </rPh>
    <rPh sb="3" eb="4">
      <t>コオリ</t>
    </rPh>
    <rPh sb="5" eb="6">
      <t>ウエ</t>
    </rPh>
    <rPh sb="7" eb="8">
      <t>タッ</t>
    </rPh>
    <rPh sb="9" eb="11">
      <t>チジョウ</t>
    </rPh>
    <rPh sb="13" eb="15">
      <t>フンカ</t>
    </rPh>
    <rPh sb="16" eb="17">
      <t>ハジ</t>
    </rPh>
    <phoneticPr fontId="2"/>
  </si>
  <si>
    <t>時刻不詳、午後。氷がない部分は数百mの幅に。氷の陥没域は更に3km北側まで延伸。</t>
    <rPh sb="0" eb="2">
      <t>ジコク</t>
    </rPh>
    <rPh sb="2" eb="4">
      <t>フショウ</t>
    </rPh>
    <rPh sb="5" eb="7">
      <t>ゴゴ</t>
    </rPh>
    <rPh sb="8" eb="9">
      <t>コオリ</t>
    </rPh>
    <rPh sb="12" eb="14">
      <t>ブブン</t>
    </rPh>
    <rPh sb="15" eb="17">
      <t>スウヒャク</t>
    </rPh>
    <rPh sb="19" eb="20">
      <t>ハバ</t>
    </rPh>
    <rPh sb="22" eb="23">
      <t>コオリ</t>
    </rPh>
    <rPh sb="24" eb="26">
      <t>カンボツ</t>
    </rPh>
    <rPh sb="26" eb="27">
      <t>イキ</t>
    </rPh>
    <rPh sb="28" eb="29">
      <t>サラ</t>
    </rPh>
    <rPh sb="33" eb="35">
      <t>キタガワ</t>
    </rPh>
    <rPh sb="37" eb="39">
      <t>エンシン</t>
    </rPh>
    <phoneticPr fontId="2"/>
  </si>
  <si>
    <t>噴煙高度4-5km。10kmの高さになったこともあった模様。間欠的な爆発も。飛行機から目撃。</t>
  </si>
  <si>
    <t>割れ目陥没域は更に北に2km延伸。全体で8-9 x 2-3kmのサイズに。地上での噴火は間欠的に。火山灰が分析され、フッ素は少なめ、玄武岩質安山岩組成。</t>
    <rPh sb="0" eb="1">
      <t>ワ</t>
    </rPh>
    <rPh sb="2" eb="3">
      <t>メ</t>
    </rPh>
    <rPh sb="3" eb="6">
      <t>カンボツイキ</t>
    </rPh>
    <rPh sb="7" eb="8">
      <t>サラ</t>
    </rPh>
    <rPh sb="9" eb="10">
      <t>キタ</t>
    </rPh>
    <rPh sb="14" eb="16">
      <t>エンシン</t>
    </rPh>
    <rPh sb="17" eb="19">
      <t>ゼンタイ</t>
    </rPh>
    <rPh sb="37" eb="39">
      <t>チジョウ</t>
    </rPh>
    <rPh sb="41" eb="43">
      <t>フンカ</t>
    </rPh>
    <rPh sb="44" eb="47">
      <t>カンケツテキ</t>
    </rPh>
    <rPh sb="49" eb="52">
      <t>カザンバイ</t>
    </rPh>
    <rPh sb="53" eb="55">
      <t>ブンセキ</t>
    </rPh>
    <rPh sb="60" eb="61">
      <t>ソ</t>
    </rPh>
    <rPh sb="62" eb="63">
      <t>スク</t>
    </rPh>
    <rPh sb="66" eb="73">
      <t>ゲンブガンシツアンザンガン</t>
    </rPh>
    <rPh sb="73" eb="75">
      <t>ソセイ</t>
    </rPh>
    <phoneticPr fontId="2"/>
  </si>
  <si>
    <t>噴火は継続。天候がこれ以降数日悪化。Grimsvotnカルデラ湖は、流入によって水位が20世紀最高に達したと予想された。</t>
    <rPh sb="0" eb="2">
      <t>フンカ</t>
    </rPh>
    <rPh sb="3" eb="5">
      <t>ケイゾク</t>
    </rPh>
    <rPh sb="6" eb="8">
      <t>テンコウ</t>
    </rPh>
    <rPh sb="11" eb="13">
      <t>イコウ</t>
    </rPh>
    <rPh sb="13" eb="15">
      <t>スウジツ</t>
    </rPh>
    <rPh sb="15" eb="17">
      <t>アッカ</t>
    </rPh>
    <rPh sb="31" eb="32">
      <t>ミズウミ</t>
    </rPh>
    <rPh sb="34" eb="36">
      <t>リュウニュウ</t>
    </rPh>
    <rPh sb="40" eb="42">
      <t>スイイ</t>
    </rPh>
    <rPh sb="45" eb="47">
      <t>セイキ</t>
    </rPh>
    <rPh sb="47" eb="49">
      <t>サイコウ</t>
    </rPh>
    <rPh sb="50" eb="51">
      <t>タッ</t>
    </rPh>
    <rPh sb="54" eb="56">
      <t>ヨソウ</t>
    </rPh>
    <phoneticPr fontId="2"/>
  </si>
  <si>
    <t>噴火は継続。割れ目全長9km。</t>
    <rPh sb="0" eb="2">
      <t>フンカ</t>
    </rPh>
    <rPh sb="3" eb="5">
      <t>ケイゾク</t>
    </rPh>
    <rPh sb="6" eb="7">
      <t>ワ</t>
    </rPh>
    <rPh sb="8" eb="9">
      <t>メ</t>
    </rPh>
    <rPh sb="9" eb="11">
      <t>ゼンチョウ</t>
    </rPh>
    <phoneticPr fontId="2"/>
  </si>
  <si>
    <t>噴煙を3km、水蒸気の雲が4km程度。</t>
    <rPh sb="0" eb="2">
      <t>フンエン</t>
    </rPh>
    <rPh sb="7" eb="10">
      <t>スイジョウキ</t>
    </rPh>
    <rPh sb="11" eb="12">
      <t>クモ</t>
    </rPh>
    <rPh sb="16" eb="18">
      <t>テイド</t>
    </rPh>
    <phoneticPr fontId="2"/>
  </si>
  <si>
    <t>噴煙は出ているがこれまであったジェットを伴う爆発が見られなくなった</t>
    <rPh sb="0" eb="2">
      <t>フンエン</t>
    </rPh>
    <rPh sb="3" eb="4">
      <t>デ</t>
    </rPh>
    <rPh sb="20" eb="21">
      <t>トモナ</t>
    </rPh>
    <rPh sb="22" eb="24">
      <t>バクハツ</t>
    </rPh>
    <rPh sb="25" eb="26">
      <t>ミ</t>
    </rPh>
    <phoneticPr fontId="2"/>
  </si>
  <si>
    <t>Grimsvotn北西からヨークルフロイプ。微動も観測。</t>
    <rPh sb="9" eb="11">
      <t>ホクセイ</t>
    </rPh>
    <rPh sb="22" eb="24">
      <t>ビドウ</t>
    </rPh>
    <rPh sb="25" eb="27">
      <t>カンソク</t>
    </rPh>
    <phoneticPr fontId="2"/>
  </si>
  <si>
    <t>Grimsvotn西方20km、Hamarinn火山で激しい群発地震活動。</t>
    <rPh sb="9" eb="11">
      <t>セイホウ</t>
    </rPh>
    <rPh sb="24" eb="26">
      <t>カザン</t>
    </rPh>
    <rPh sb="27" eb="28">
      <t>ハゲ</t>
    </rPh>
    <rPh sb="30" eb="32">
      <t>グンパツ</t>
    </rPh>
    <rPh sb="32" eb="34">
      <t>ジシン</t>
    </rPh>
    <rPh sb="34" eb="36">
      <t>カツドウ</t>
    </rPh>
    <phoneticPr fontId="2"/>
  </si>
  <si>
    <t>Nordic Volcanological Instituteは噴火が停止したと判断</t>
    <rPh sb="32" eb="34">
      <t>フンカ</t>
    </rPh>
    <rPh sb="35" eb="37">
      <t>テイシ</t>
    </rPh>
    <rPh sb="40" eb="42">
      <t>ハンダン</t>
    </rPh>
    <phoneticPr fontId="2"/>
  </si>
  <si>
    <t>Global Volcanism Program (1996)</t>
    <phoneticPr fontId="2"/>
  </si>
  <si>
    <t>GPSによりカルデラ湖の水位は標高1505mに達していると推定された。一般的には1450m付近でヨークルフロイプが起こることが多かったが起こらなかった。</t>
    <rPh sb="10" eb="11">
      <t>コ</t>
    </rPh>
    <rPh sb="12" eb="14">
      <t>スイイ</t>
    </rPh>
    <rPh sb="15" eb="17">
      <t>ヒョウコウ</t>
    </rPh>
    <rPh sb="23" eb="24">
      <t>タッ</t>
    </rPh>
    <rPh sb="29" eb="31">
      <t>スイテイ</t>
    </rPh>
    <rPh sb="35" eb="38">
      <t>イッパンテキ</t>
    </rPh>
    <rPh sb="45" eb="47">
      <t>フキン</t>
    </rPh>
    <rPh sb="57" eb="58">
      <t>オ</t>
    </rPh>
    <rPh sb="63" eb="64">
      <t>オオ</t>
    </rPh>
    <rPh sb="68" eb="69">
      <t>オ</t>
    </rPh>
    <phoneticPr fontId="2"/>
  </si>
  <si>
    <t>ヨークルフロイプ</t>
    <phoneticPr fontId="2"/>
  </si>
  <si>
    <t>20世紀最大規模のヨークルフロイプ。総体積4 km3、ピーク流出量 55 km3/s。</t>
    <rPh sb="2" eb="4">
      <t>セイキ</t>
    </rPh>
    <rPh sb="4" eb="6">
      <t>サイダイ</t>
    </rPh>
    <rPh sb="6" eb="8">
      <t>キボ</t>
    </rPh>
    <rPh sb="18" eb="19">
      <t>ソウ</t>
    </rPh>
    <rPh sb="19" eb="21">
      <t>タイセキ</t>
    </rPh>
    <rPh sb="30" eb="33">
      <t>リュウシュツリョウ</t>
    </rPh>
    <phoneticPr fontId="2"/>
  </si>
  <si>
    <t>Worsley (1996)</t>
    <phoneticPr fontId="2"/>
  </si>
  <si>
    <t>噴火の開始</t>
    <rPh sb="0" eb="2">
      <t>フンカ</t>
    </rPh>
    <rPh sb="3" eb="5">
      <t>カイシ</t>
    </rPh>
    <phoneticPr fontId="2"/>
  </si>
  <si>
    <t>噴煙が観察される。高度10km。</t>
    <rPh sb="0" eb="2">
      <t>フンエン</t>
    </rPh>
    <rPh sb="3" eb="5">
      <t>カンサツ</t>
    </rPh>
    <rPh sb="9" eb="11">
      <t>コウド</t>
    </rPh>
    <phoneticPr fontId="2"/>
  </si>
  <si>
    <t>日時不詳。噴火数週間前から穏やかな地震活動の高まり</t>
    <rPh sb="0" eb="2">
      <t>ニチジ</t>
    </rPh>
    <rPh sb="2" eb="4">
      <t>フショウ</t>
    </rPh>
    <rPh sb="5" eb="7">
      <t>フンカ</t>
    </rPh>
    <rPh sb="7" eb="10">
      <t>スウシュウカン</t>
    </rPh>
    <rPh sb="10" eb="11">
      <t>マエ</t>
    </rPh>
    <rPh sb="13" eb="14">
      <t>オダ</t>
    </rPh>
    <rPh sb="17" eb="19">
      <t>ジシン</t>
    </rPh>
    <rPh sb="19" eb="21">
      <t>カツドウ</t>
    </rPh>
    <rPh sb="22" eb="23">
      <t>タカ</t>
    </rPh>
    <phoneticPr fontId="2"/>
  </si>
  <si>
    <t>群発地震の開始</t>
    <rPh sb="0" eb="2">
      <t>グンパツ</t>
    </rPh>
    <rPh sb="2" eb="4">
      <t>ジシン</t>
    </rPh>
    <rPh sb="5" eb="7">
      <t>カイシ</t>
    </rPh>
    <phoneticPr fontId="2"/>
  </si>
  <si>
    <t>地震活動の急激な激化</t>
    <rPh sb="0" eb="2">
      <t>ジシン</t>
    </rPh>
    <rPh sb="2" eb="4">
      <t>カツドウ</t>
    </rPh>
    <rPh sb="5" eb="7">
      <t>キュウゲキ</t>
    </rPh>
    <rPh sb="8" eb="10">
      <t>ゲキカ</t>
    </rPh>
    <phoneticPr fontId="2"/>
  </si>
  <si>
    <t>連続微動の開始</t>
    <rPh sb="0" eb="2">
      <t>レンゾク</t>
    </rPh>
    <rPh sb="2" eb="4">
      <t>ビドウ</t>
    </rPh>
    <rPh sb="5" eb="7">
      <t>カイシ</t>
    </rPh>
    <phoneticPr fontId="2"/>
  </si>
  <si>
    <t>若干活発ではなくなる。噴煙高度7-8km。</t>
    <rPh sb="0" eb="2">
      <t>ジャッカン</t>
    </rPh>
    <rPh sb="2" eb="4">
      <t>カッパツ</t>
    </rPh>
    <rPh sb="11" eb="13">
      <t>フンエン</t>
    </rPh>
    <rPh sb="13" eb="15">
      <t>コウド</t>
    </rPh>
    <phoneticPr fontId="2"/>
  </si>
  <si>
    <t>不安定な噴煙。薄い色で高度7km程度まで上がっていたが、暗色に代わり崩れてベースサージを発生させて高度1-2kmに。</t>
    <rPh sb="0" eb="3">
      <t>フアンテイ</t>
    </rPh>
    <rPh sb="4" eb="6">
      <t>フンエン</t>
    </rPh>
    <rPh sb="7" eb="8">
      <t>ウス</t>
    </rPh>
    <rPh sb="9" eb="10">
      <t>イロ</t>
    </rPh>
    <rPh sb="11" eb="13">
      <t>コウド</t>
    </rPh>
    <rPh sb="16" eb="18">
      <t>テイド</t>
    </rPh>
    <rPh sb="20" eb="21">
      <t>ア</t>
    </rPh>
    <rPh sb="28" eb="30">
      <t>アンショク</t>
    </rPh>
    <rPh sb="31" eb="32">
      <t>カ</t>
    </rPh>
    <rPh sb="34" eb="35">
      <t>クズ</t>
    </rPh>
    <rPh sb="44" eb="46">
      <t>ハッセイ</t>
    </rPh>
    <rPh sb="49" eb="51">
      <t>コウド</t>
    </rPh>
    <phoneticPr fontId="2"/>
  </si>
  <si>
    <t>4kmの噴煙と激しい水蒸気爆発による火山灰放出が観察される</t>
    <rPh sb="4" eb="6">
      <t>フンエン</t>
    </rPh>
    <rPh sb="7" eb="8">
      <t>ハゲ</t>
    </rPh>
    <rPh sb="10" eb="13">
      <t>スイジョウキ</t>
    </rPh>
    <rPh sb="13" eb="15">
      <t>バクハツ</t>
    </rPh>
    <rPh sb="18" eb="21">
      <t>カザンバイ</t>
    </rPh>
    <rPh sb="21" eb="23">
      <t>ホウシュツ</t>
    </rPh>
    <rPh sb="24" eb="26">
      <t>カンサツ</t>
    </rPh>
    <phoneticPr fontId="2"/>
  </si>
  <si>
    <t>Global Volcanism Program (1998) Report on Grimsvotn (Iceland)</t>
    <phoneticPr fontId="2"/>
  </si>
  <si>
    <t>日時不詳。2003年中盤、地震活動が多めに。</t>
    <rPh sb="0" eb="2">
      <t>ニチジ</t>
    </rPh>
    <rPh sb="2" eb="4">
      <t>フショウ</t>
    </rPh>
    <rPh sb="9" eb="10">
      <t>ネン</t>
    </rPh>
    <rPh sb="10" eb="12">
      <t>チュウバン</t>
    </rPh>
    <rPh sb="13" eb="15">
      <t>ジシン</t>
    </rPh>
    <rPh sb="15" eb="17">
      <t>カツドウ</t>
    </rPh>
    <rPh sb="18" eb="19">
      <t>オオ</t>
    </rPh>
    <phoneticPr fontId="2"/>
  </si>
  <si>
    <t>日時不詳。10月後半、地震活動が更に増加。</t>
    <rPh sb="0" eb="2">
      <t>ニチジ</t>
    </rPh>
    <rPh sb="2" eb="4">
      <t>フショウ</t>
    </rPh>
    <rPh sb="7" eb="8">
      <t>ガツ</t>
    </rPh>
    <rPh sb="8" eb="10">
      <t>コウハン</t>
    </rPh>
    <rPh sb="11" eb="13">
      <t>ジシン</t>
    </rPh>
    <rPh sb="13" eb="15">
      <t>カツドウ</t>
    </rPh>
    <rPh sb="16" eb="17">
      <t>サラ</t>
    </rPh>
    <rPh sb="18" eb="20">
      <t>ゾウカ</t>
    </rPh>
    <phoneticPr fontId="2"/>
  </si>
  <si>
    <t>高周波の微動。</t>
    <rPh sb="0" eb="3">
      <t>コウシュウハ</t>
    </rPh>
    <rPh sb="4" eb="6">
      <t>ビドウ</t>
    </rPh>
    <phoneticPr fontId="2"/>
  </si>
  <si>
    <t>氷底の水流の増加</t>
    <rPh sb="0" eb="1">
      <t>ヒョウ</t>
    </rPh>
    <rPh sb="1" eb="2">
      <t>テイ</t>
    </rPh>
    <rPh sb="3" eb="5">
      <t>スイリュウ</t>
    </rPh>
    <rPh sb="6" eb="8">
      <t>ゾウカ</t>
    </rPh>
    <phoneticPr fontId="2"/>
  </si>
  <si>
    <t>ヨークルフロイプの開始。11月2日にピークを迎え急激に減衰。総体積0.5 km3</t>
    <rPh sb="9" eb="11">
      <t>カイシ</t>
    </rPh>
    <rPh sb="14" eb="15">
      <t>ガツ</t>
    </rPh>
    <rPh sb="16" eb="17">
      <t>ニチ</t>
    </rPh>
    <rPh sb="22" eb="23">
      <t>ムカ</t>
    </rPh>
    <rPh sb="24" eb="26">
      <t>キュウゲキ</t>
    </rPh>
    <rPh sb="27" eb="29">
      <t>ゲンスイ</t>
    </rPh>
    <rPh sb="30" eb="31">
      <t>ソウ</t>
    </rPh>
    <rPh sb="31" eb="33">
      <t>タイセキ</t>
    </rPh>
    <phoneticPr fontId="2"/>
  </si>
  <si>
    <t>激しい地震活動の開始</t>
    <rPh sb="0" eb="1">
      <t>ハゲ</t>
    </rPh>
    <rPh sb="3" eb="5">
      <t>ジシン</t>
    </rPh>
    <rPh sb="5" eb="7">
      <t>カツドウ</t>
    </rPh>
    <rPh sb="8" eb="10">
      <t>カイシ</t>
    </rPh>
    <phoneticPr fontId="2"/>
  </si>
  <si>
    <t>150-200mの厚さの氷を割って陸上噴火</t>
    <rPh sb="9" eb="10">
      <t>アツ</t>
    </rPh>
    <rPh sb="12" eb="13">
      <t>コオリ</t>
    </rPh>
    <rPh sb="14" eb="15">
      <t>ワ</t>
    </rPh>
    <rPh sb="17" eb="19">
      <t>リクジョウ</t>
    </rPh>
    <rPh sb="19" eb="21">
      <t>フンカ</t>
    </rPh>
    <phoneticPr fontId="2"/>
  </si>
  <si>
    <t>Global Volcanism Program (2004)</t>
    <phoneticPr fontId="2"/>
  </si>
  <si>
    <t>レーダーに噴煙柱が捉えられる。何度も噴煙高度12-13 kmに達する。</t>
    <rPh sb="5" eb="7">
      <t>フンエン</t>
    </rPh>
    <rPh sb="7" eb="8">
      <t>チュウ</t>
    </rPh>
    <rPh sb="9" eb="10">
      <t>トラ</t>
    </rPh>
    <rPh sb="15" eb="17">
      <t>ナンド</t>
    </rPh>
    <rPh sb="18" eb="20">
      <t>フンエン</t>
    </rPh>
    <rPh sb="20" eb="22">
      <t>コウド</t>
    </rPh>
    <rPh sb="31" eb="32">
      <t>タッ</t>
    </rPh>
    <phoneticPr fontId="2"/>
  </si>
  <si>
    <t>UTC</t>
    <phoneticPr fontId="2"/>
  </si>
  <si>
    <t>Local</t>
    <phoneticPr fontId="2"/>
  </si>
  <si>
    <t>1km未満の割れ目でマグマ水蒸気爆発が起こっているのが飛行機から目撃される。噴煙高度は9km。</t>
    <rPh sb="3" eb="5">
      <t>ミマン</t>
    </rPh>
    <rPh sb="6" eb="7">
      <t>ワ</t>
    </rPh>
    <rPh sb="8" eb="9">
      <t>メ</t>
    </rPh>
    <rPh sb="13" eb="16">
      <t>スイジョウキ</t>
    </rPh>
    <rPh sb="16" eb="18">
      <t>バクハツ</t>
    </rPh>
    <rPh sb="19" eb="20">
      <t>オ</t>
    </rPh>
    <rPh sb="27" eb="30">
      <t>ヒコウキ</t>
    </rPh>
    <rPh sb="32" eb="34">
      <t>モクゲキ</t>
    </rPh>
    <rPh sb="38" eb="40">
      <t>フンエン</t>
    </rPh>
    <rPh sb="40" eb="42">
      <t>コウド</t>
    </rPh>
    <phoneticPr fontId="2"/>
  </si>
  <si>
    <t>間欠的な微動</t>
    <rPh sb="0" eb="3">
      <t>カンケツテキ</t>
    </rPh>
    <rPh sb="4" eb="6">
      <t>ビドウ</t>
    </rPh>
    <phoneticPr fontId="2"/>
  </si>
  <si>
    <t>「ヨークルフロイプの微動」</t>
    <rPh sb="10" eb="12">
      <t>ビドウ</t>
    </rPh>
    <phoneticPr fontId="2"/>
  </si>
  <si>
    <t>噴火の弱まり・停止</t>
    <rPh sb="0" eb="2">
      <t>フンカ</t>
    </rPh>
    <rPh sb="3" eb="4">
      <t>ヨワ</t>
    </rPh>
    <rPh sb="7" eb="9">
      <t>テイシ</t>
    </rPh>
    <phoneticPr fontId="2"/>
  </si>
  <si>
    <t>Icelandic MetOffice調査団が火口を調査。火山灰の噴煙は停止していたが、噴気は間欠的に暴噴。</t>
    <rPh sb="19" eb="22">
      <t>チョウサダン</t>
    </rPh>
    <rPh sb="23" eb="25">
      <t>カコウ</t>
    </rPh>
    <rPh sb="26" eb="28">
      <t>チョウサ</t>
    </rPh>
    <rPh sb="29" eb="32">
      <t>カザンバイ</t>
    </rPh>
    <rPh sb="33" eb="35">
      <t>フンエン</t>
    </rPh>
    <rPh sb="36" eb="38">
      <t>テイシ</t>
    </rPh>
    <rPh sb="44" eb="46">
      <t>フンキ</t>
    </rPh>
    <rPh sb="47" eb="50">
      <t>カンケツテキ</t>
    </rPh>
    <rPh sb="51" eb="52">
      <t>ボウ</t>
    </rPh>
    <rPh sb="52" eb="53">
      <t>フン</t>
    </rPh>
    <phoneticPr fontId="2"/>
  </si>
  <si>
    <t>水蒸気爆発が継続</t>
    <rPh sb="0" eb="3">
      <t>スイジョウキ</t>
    </rPh>
    <rPh sb="3" eb="5">
      <t>バクハツ</t>
    </rPh>
    <rPh sb="6" eb="8">
      <t>ケイゾク</t>
    </rPh>
    <phoneticPr fontId="2"/>
  </si>
  <si>
    <t>&lt;9 kmの噴煙高度。</t>
    <rPh sb="6" eb="8">
      <t>フンエン</t>
    </rPh>
    <rPh sb="8" eb="10">
      <t>コウド</t>
    </rPh>
    <phoneticPr fontId="2"/>
  </si>
  <si>
    <t>噴火の終了</t>
    <phoneticPr fontId="2"/>
  </si>
  <si>
    <t>連続微動の停止</t>
    <rPh sb="0" eb="2">
      <t>レンゾク</t>
    </rPh>
    <rPh sb="2" eb="4">
      <t>ビドウ</t>
    </rPh>
    <rPh sb="5" eb="7">
      <t>テイシ</t>
    </rPh>
    <phoneticPr fontId="2"/>
  </si>
  <si>
    <t>水文</t>
    <rPh sb="0" eb="2">
      <t>スイモン</t>
    </rPh>
    <phoneticPr fontId="2"/>
  </si>
  <si>
    <t>未明にAskjaに火柱が目撃された。火山灰が降下。</t>
    <rPh sb="0" eb="2">
      <t>ミメイ</t>
    </rPh>
    <rPh sb="9" eb="11">
      <t>ヒバシラ</t>
    </rPh>
    <rPh sb="12" eb="14">
      <t>モクゲキ</t>
    </rPh>
    <rPh sb="18" eb="21">
      <t>カザンバイ</t>
    </rPh>
    <rPh sb="22" eb="24">
      <t>コウカ</t>
    </rPh>
    <phoneticPr fontId="2"/>
  </si>
  <si>
    <t>アイスランド氷雪学会春季探検調査団が火口を調査。噴火が終わっていることを確認。</t>
  </si>
  <si>
    <t>時系列原点</t>
    <rPh sb="0" eb="3">
      <t>ジケイレツ</t>
    </rPh>
    <rPh sb="3" eb="5">
      <t>ゲンテン</t>
    </rPh>
    <phoneticPr fontId="2"/>
  </si>
  <si>
    <t>start</t>
    <phoneticPr fontId="2"/>
  </si>
  <si>
    <t>climax</t>
    <phoneticPr fontId="2"/>
  </si>
  <si>
    <t>end</t>
    <phoneticPr fontId="2"/>
  </si>
  <si>
    <t>相模湾を震源とする元禄関東地震 M8.2</t>
    <rPh sb="0" eb="2">
      <t>サガミ</t>
    </rPh>
    <rPh sb="2" eb="3">
      <t>ワン</t>
    </rPh>
    <rPh sb="4" eb="6">
      <t>シンゲン</t>
    </rPh>
    <rPh sb="9" eb="11">
      <t>ゲンロク</t>
    </rPh>
    <rPh sb="11" eb="13">
      <t>カントウ</t>
    </rPh>
    <rPh sb="13" eb="15">
      <t>ジシン</t>
    </rPh>
    <phoneticPr fontId="2"/>
  </si>
  <si>
    <t>富士山鳴動『僧教悦元禄大地震覚書』</t>
    <rPh sb="0" eb="3">
      <t>フジサン</t>
    </rPh>
    <rPh sb="3" eb="5">
      <t>メイドウ</t>
    </rPh>
    <rPh sb="6" eb="7">
      <t>ソウ</t>
    </rPh>
    <rPh sb="7" eb="9">
      <t>キョウエツ</t>
    </rPh>
    <rPh sb="9" eb="11">
      <t>ゲンロク</t>
    </rPh>
    <rPh sb="11" eb="14">
      <t>ダイジシン</t>
    </rPh>
    <rPh sb="14" eb="16">
      <t>オボエガキ</t>
    </rPh>
    <phoneticPr fontId="2"/>
  </si>
  <si>
    <t>マグマ貫入による群発地震?</t>
    <rPh sb="3" eb="5">
      <t>カンニュウ</t>
    </rPh>
    <rPh sb="8" eb="10">
      <t>グンパツ</t>
    </rPh>
    <rPh sb="10" eb="12">
      <t>ジシン</t>
    </rPh>
    <phoneticPr fontId="2"/>
  </si>
  <si>
    <t>南海トラフを震源とする宝永地震 Mw8.7</t>
  </si>
  <si>
    <t>時刻不詳。未明。富士宮市付近を震源に宝永地震の最大余震</t>
    <rPh sb="0" eb="2">
      <t>ジコク</t>
    </rPh>
    <rPh sb="2" eb="4">
      <t>フショウ</t>
    </rPh>
    <rPh sb="5" eb="7">
      <t>ミメイ</t>
    </rPh>
    <rPh sb="8" eb="12">
      <t>フジノミヤシ</t>
    </rPh>
    <rPh sb="12" eb="14">
      <t>フキン</t>
    </rPh>
    <rPh sb="15" eb="17">
      <t>シンゲン</t>
    </rPh>
    <rPh sb="18" eb="20">
      <t>ホウエイ</t>
    </rPh>
    <rPh sb="20" eb="22">
      <t>ジシン</t>
    </rPh>
    <rPh sb="23" eb="25">
      <t>サイダイ</t>
    </rPh>
    <rPh sb="25" eb="27">
      <t>ヨシン</t>
    </rPh>
    <phoneticPr fontId="2"/>
  </si>
  <si>
    <t>富士山中で10-20回/日の群発地震も里では無感 『土屋伊太夫噴火事情書』</t>
    <rPh sb="0" eb="2">
      <t>フジ</t>
    </rPh>
    <rPh sb="2" eb="4">
      <t>サンチュウ</t>
    </rPh>
    <rPh sb="10" eb="11">
      <t>カイ</t>
    </rPh>
    <rPh sb="12" eb="13">
      <t>ニチ</t>
    </rPh>
    <rPh sb="14" eb="16">
      <t>グンパツ</t>
    </rPh>
    <rPh sb="16" eb="18">
      <t>ジシン</t>
    </rPh>
    <rPh sb="19" eb="20">
      <t>サト</t>
    </rPh>
    <rPh sb="22" eb="24">
      <t>ムカン</t>
    </rPh>
    <rPh sb="26" eb="28">
      <t>ツチヤ</t>
    </rPh>
    <rPh sb="28" eb="29">
      <t>イ</t>
    </rPh>
    <rPh sb="29" eb="31">
      <t>ダユウ</t>
    </rPh>
    <rPh sb="31" eb="33">
      <t>フンカ</t>
    </rPh>
    <rPh sb="33" eb="35">
      <t>ジジョウ</t>
    </rPh>
    <rPh sb="35" eb="36">
      <t>ショ</t>
    </rPh>
    <phoneticPr fontId="2"/>
  </si>
  <si>
    <t>富士山東麓では連日鳴動</t>
    <rPh sb="0" eb="3">
      <t>フジサン</t>
    </rPh>
    <rPh sb="3" eb="5">
      <t>トウロク</t>
    </rPh>
    <rPh sb="7" eb="9">
      <t>レンジツ</t>
    </rPh>
    <rPh sb="9" eb="11">
      <t>メイドウ</t>
    </rPh>
    <phoneticPr fontId="2"/>
  </si>
  <si>
    <t>小規模な地震活動?</t>
    <rPh sb="0" eb="3">
      <t>ショウキボ</t>
    </rPh>
    <rPh sb="4" eb="6">
      <t>ジシン</t>
    </rPh>
    <rPh sb="6" eb="8">
      <t>カツドウ</t>
    </rPh>
    <phoneticPr fontId="2"/>
  </si>
  <si>
    <t>地震活動の激化</t>
    <rPh sb="0" eb="2">
      <t>ジシン</t>
    </rPh>
    <rPh sb="2" eb="4">
      <t>カツドウ</t>
    </rPh>
    <rPh sb="5" eb="7">
      <t>ゲキカ</t>
    </rPh>
    <phoneticPr fontId="2"/>
  </si>
  <si>
    <t>時刻不詳。10-12時頃。噴火の開始。</t>
    <rPh sb="10" eb="11">
      <t>ジ</t>
    </rPh>
    <rPh sb="11" eb="12">
      <t>ゴロ</t>
    </rPh>
    <rPh sb="13" eb="15">
      <t>フンカ</t>
    </rPh>
    <rPh sb="16" eb="18">
      <t>カイシ</t>
    </rPh>
    <phoneticPr fontId="2"/>
  </si>
  <si>
    <t>広域における断続的空振</t>
    <rPh sb="0" eb="2">
      <t>コウイキ</t>
    </rPh>
    <rPh sb="6" eb="9">
      <t>ダンゾクテキ</t>
    </rPh>
    <rPh sb="9" eb="10">
      <t>クウ</t>
    </rPh>
    <rPh sb="10" eb="11">
      <t>シン</t>
    </rPh>
    <phoneticPr fontId="2"/>
  </si>
  <si>
    <t>激しい空振・雷鳴・噴煙目撃・降灰。</t>
    <rPh sb="0" eb="1">
      <t>ハゲ</t>
    </rPh>
    <rPh sb="3" eb="4">
      <t>クウ</t>
    </rPh>
    <rPh sb="4" eb="5">
      <t>シン</t>
    </rPh>
    <rPh sb="6" eb="8">
      <t>ライメイ</t>
    </rPh>
    <rPh sb="9" eb="11">
      <t>フンエン</t>
    </rPh>
    <rPh sb="11" eb="13">
      <t>モクゲキ</t>
    </rPh>
    <rPh sb="14" eb="16">
      <t>コウハイ</t>
    </rPh>
    <phoneticPr fontId="2"/>
  </si>
  <si>
    <t>噴出物の色が白色から黒色へ変化</t>
    <rPh sb="0" eb="2">
      <t>フンシュツ</t>
    </rPh>
    <rPh sb="2" eb="3">
      <t>ブツ</t>
    </rPh>
    <rPh sb="4" eb="5">
      <t>イロ</t>
    </rPh>
    <rPh sb="6" eb="8">
      <t>ハクショク</t>
    </rPh>
    <rPh sb="10" eb="12">
      <t>コクショク</t>
    </rPh>
    <rPh sb="13" eb="15">
      <t>ヘンカ</t>
    </rPh>
    <phoneticPr fontId="2"/>
  </si>
  <si>
    <t>噴火の一時的な小康状態</t>
    <rPh sb="0" eb="2">
      <t>フンカ</t>
    </rPh>
    <rPh sb="3" eb="6">
      <t>イチジテキ</t>
    </rPh>
    <rPh sb="7" eb="9">
      <t>ショウコウ</t>
    </rPh>
    <rPh sb="9" eb="11">
      <t>ジョウタイ</t>
    </rPh>
    <phoneticPr fontId="2"/>
  </si>
  <si>
    <t>大き目の地震（近傍ではない？）</t>
    <rPh sb="0" eb="1">
      <t>オオ</t>
    </rPh>
    <rPh sb="2" eb="3">
      <t>メ</t>
    </rPh>
    <rPh sb="4" eb="6">
      <t>ジシン</t>
    </rPh>
    <rPh sb="7" eb="9">
      <t>キンボウ</t>
    </rPh>
    <phoneticPr fontId="2"/>
  </si>
  <si>
    <t>大き目の地震</t>
    <rPh sb="0" eb="1">
      <t>オオ</t>
    </rPh>
    <rPh sb="2" eb="3">
      <t>メ</t>
    </rPh>
    <rPh sb="4" eb="6">
      <t>ジシン</t>
    </rPh>
    <phoneticPr fontId="2"/>
  </si>
  <si>
    <t>噴火の勢いの盛り返し</t>
    <rPh sb="0" eb="2">
      <t>フンカ</t>
    </rPh>
    <rPh sb="3" eb="4">
      <t>イキオ</t>
    </rPh>
    <rPh sb="6" eb="7">
      <t>モ</t>
    </rPh>
    <rPh sb="8" eb="9">
      <t>カエ</t>
    </rPh>
    <phoneticPr fontId="2"/>
  </si>
  <si>
    <t>爆発的な火山弾放出</t>
    <rPh sb="0" eb="3">
      <t>バクハツテキ</t>
    </rPh>
    <rPh sb="4" eb="7">
      <t>カザンダン</t>
    </rPh>
    <rPh sb="7" eb="9">
      <t>ホウシュツ</t>
    </rPh>
    <phoneticPr fontId="2"/>
  </si>
  <si>
    <t>時刻不詳: 未明に最後の爆発</t>
    <rPh sb="0" eb="2">
      <t>ジコク</t>
    </rPh>
    <rPh sb="2" eb="4">
      <t>フショウ</t>
    </rPh>
    <rPh sb="6" eb="8">
      <t>ミメイ</t>
    </rPh>
    <rPh sb="9" eb="11">
      <t>サイゴ</t>
    </rPh>
    <rPh sb="12" eb="14">
      <t>バクハツ</t>
    </rPh>
    <phoneticPr fontId="2"/>
  </si>
  <si>
    <t>内閣府防災 (2006) 1707 富士山宝永噴火. 災害教訓の継承に関する専門調査会報告書</t>
    <rPh sb="0" eb="2">
      <t>ナイカク</t>
    </rPh>
    <rPh sb="2" eb="3">
      <t>フ</t>
    </rPh>
    <rPh sb="3" eb="5">
      <t>ボウサイ</t>
    </rPh>
    <rPh sb="18" eb="21">
      <t>フジサン</t>
    </rPh>
    <rPh sb="21" eb="23">
      <t>ホウエイ</t>
    </rPh>
    <rPh sb="23" eb="25">
      <t>フンカ</t>
    </rPh>
    <rPh sb="27" eb="29">
      <t>サイガイ</t>
    </rPh>
    <rPh sb="29" eb="31">
      <t>キョウクン</t>
    </rPh>
    <rPh sb="32" eb="34">
      <t>ケイショウ</t>
    </rPh>
    <rPh sb="35" eb="36">
      <t>カン</t>
    </rPh>
    <rPh sb="38" eb="40">
      <t>センモン</t>
    </rPh>
    <rPh sb="40" eb="43">
      <t>チョウサカイ</t>
    </rPh>
    <rPh sb="43" eb="46">
      <t>ホウコクショ</t>
    </rPh>
    <phoneticPr fontId="2"/>
  </si>
  <si>
    <t>Ho-IV</t>
    <phoneticPr fontId="2"/>
  </si>
  <si>
    <t>Ho-III</t>
    <phoneticPr fontId="2"/>
  </si>
  <si>
    <t>粗粒礫の多いHo-I, II</t>
    <phoneticPr fontId="2"/>
  </si>
  <si>
    <t>Ho-II</t>
    <phoneticPr fontId="2"/>
  </si>
  <si>
    <t>スコリア丘の爆砕？</t>
    <rPh sb="4" eb="5">
      <t>オカ</t>
    </rPh>
    <rPh sb="6" eb="8">
      <t>バクサイ</t>
    </rPh>
    <phoneticPr fontId="2"/>
  </si>
  <si>
    <t>Basalt</t>
    <phoneticPr fontId="2"/>
  </si>
  <si>
    <t>Andesite</t>
    <phoneticPr fontId="2"/>
  </si>
  <si>
    <t>Dacite</t>
    <phoneticPr fontId="2"/>
  </si>
  <si>
    <t>Rhyolite</t>
    <phoneticPr fontId="2"/>
  </si>
  <si>
    <t>kg/m3</t>
    <phoneticPr fontId="2"/>
  </si>
  <si>
    <t>log10 kg/s</t>
    <phoneticPr fontId="2"/>
  </si>
  <si>
    <t>Height</t>
    <phoneticPr fontId="2"/>
  </si>
  <si>
    <t>km</t>
    <phoneticPr fontId="2"/>
  </si>
  <si>
    <t>log-1.5</t>
    <phoneticPr fontId="2"/>
  </si>
  <si>
    <t>log MFR</t>
    <phoneticPr fontId="2"/>
  </si>
  <si>
    <t>桜島島内で有感地震多数。北だけの西側斜面で落石。</t>
    <rPh sb="0" eb="2">
      <t>サクラジマ</t>
    </rPh>
    <rPh sb="2" eb="4">
      <t>トウナイ</t>
    </rPh>
    <rPh sb="5" eb="7">
      <t>ユウカン</t>
    </rPh>
    <rPh sb="7" eb="9">
      <t>ジシン</t>
    </rPh>
    <rPh sb="9" eb="11">
      <t>タスウ</t>
    </rPh>
    <rPh sb="12" eb="13">
      <t>キタ</t>
    </rPh>
    <rPh sb="16" eb="18">
      <t>ニシガワ</t>
    </rPh>
    <rPh sb="18" eb="20">
      <t>シャメン</t>
    </rPh>
    <rPh sb="21" eb="23">
      <t>ラクセキ</t>
    </rPh>
    <phoneticPr fontId="2"/>
  </si>
  <si>
    <t>地震・鳴轟・崩壊等。</t>
    <rPh sb="0" eb="2">
      <t>ジシン</t>
    </rPh>
    <rPh sb="3" eb="4">
      <t>メイ</t>
    </rPh>
    <rPh sb="4" eb="5">
      <t>ゴウ</t>
    </rPh>
    <rPh sb="6" eb="8">
      <t>ホウカイ</t>
    </rPh>
    <rPh sb="8" eb="9">
      <t>トウ</t>
    </rPh>
    <phoneticPr fontId="2"/>
  </si>
  <si>
    <t>鹿児島市街でも有感。桜島では斜面崩落多数。</t>
    <rPh sb="0" eb="3">
      <t>カゴシマ</t>
    </rPh>
    <rPh sb="3" eb="5">
      <t>シガイ</t>
    </rPh>
    <rPh sb="7" eb="9">
      <t>ユウカン</t>
    </rPh>
    <rPh sb="10" eb="12">
      <t>サクラジマ</t>
    </rPh>
    <rPh sb="14" eb="16">
      <t>シャメン</t>
    </rPh>
    <rPh sb="16" eb="18">
      <t>ホウラク</t>
    </rPh>
    <rPh sb="18" eb="20">
      <t>タスウ</t>
    </rPh>
    <phoneticPr fontId="2"/>
  </si>
  <si>
    <t>Local</t>
    <phoneticPr fontId="2"/>
  </si>
  <si>
    <t>御岳西側と山頂火口から白煙上がる</t>
    <rPh sb="0" eb="2">
      <t>オンタケ</t>
    </rPh>
    <rPh sb="2" eb="4">
      <t>ニシガワ</t>
    </rPh>
    <rPh sb="5" eb="7">
      <t>サンチョウ</t>
    </rPh>
    <rPh sb="7" eb="9">
      <t>カコウ</t>
    </rPh>
    <rPh sb="11" eb="13">
      <t>ハクエン</t>
    </rPh>
    <rPh sb="13" eb="14">
      <t>ア</t>
    </rPh>
    <phoneticPr fontId="2"/>
  </si>
  <si>
    <t>島内で異常湧水・亀裂多数</t>
    <phoneticPr fontId="2"/>
  </si>
  <si>
    <t>山頂火口(南岳)から白煙、続いて湯の平近くから白煙</t>
    <rPh sb="0" eb="2">
      <t>サンチョウ</t>
    </rPh>
    <rPh sb="2" eb="4">
      <t>カコウ</t>
    </rPh>
    <rPh sb="5" eb="7">
      <t>ミナミダケ</t>
    </rPh>
    <rPh sb="10" eb="12">
      <t>ハクエン</t>
    </rPh>
    <rPh sb="13" eb="14">
      <t>ツヅ</t>
    </rPh>
    <phoneticPr fontId="2"/>
  </si>
  <si>
    <t>安井ほか (2006) 日大紀要 表1 に詳しい</t>
    <rPh sb="0" eb="2">
      <t>ヤスイ</t>
    </rPh>
    <rPh sb="12" eb="14">
      <t>ニチダイ</t>
    </rPh>
    <rPh sb="14" eb="16">
      <t>キヨウ</t>
    </rPh>
    <rPh sb="17" eb="18">
      <t>ヒョウ</t>
    </rPh>
    <rPh sb="21" eb="22">
      <t>クワ</t>
    </rPh>
    <phoneticPr fontId="2"/>
  </si>
  <si>
    <t>空振とうなりが頻度と強度を増す。地震は減った。</t>
    <rPh sb="0" eb="2">
      <t>クウシン</t>
    </rPh>
    <rPh sb="7" eb="9">
      <t>ヒンド</t>
    </rPh>
    <rPh sb="10" eb="12">
      <t>キョウド</t>
    </rPh>
    <rPh sb="13" eb="14">
      <t>マ</t>
    </rPh>
    <rPh sb="16" eb="18">
      <t>ジシン</t>
    </rPh>
    <rPh sb="19" eb="20">
      <t>ヘ</t>
    </rPh>
    <phoneticPr fontId="2"/>
  </si>
  <si>
    <t>鹿児島市街まで届く大爆音</t>
    <rPh sb="0" eb="5">
      <t>カゴシマシガイ</t>
    </rPh>
    <rPh sb="7" eb="8">
      <t>トド</t>
    </rPh>
    <rPh sb="9" eb="10">
      <t>ダイ</t>
    </rPh>
    <rPh sb="10" eb="12">
      <t>バクオン</t>
    </rPh>
    <phoneticPr fontId="2"/>
  </si>
  <si>
    <t xml:space="preserve">桜島地震(M7.1)発生 </t>
    <rPh sb="0" eb="2">
      <t>サクラジマ</t>
    </rPh>
    <rPh sb="2" eb="4">
      <t>ジシン</t>
    </rPh>
    <rPh sb="10" eb="12">
      <t>ハッセイ</t>
    </rPh>
    <phoneticPr fontId="2"/>
  </si>
  <si>
    <t>鹿児島市沿岸に小津波</t>
    <rPh sb="0" eb="4">
      <t>カゴシマシ</t>
    </rPh>
    <rPh sb="4" eb="6">
      <t>エンガン</t>
    </rPh>
    <rPh sb="7" eb="8">
      <t>ショウ</t>
    </rPh>
    <rPh sb="8" eb="10">
      <t>ツナミ</t>
    </rPh>
    <phoneticPr fontId="2"/>
  </si>
  <si>
    <t>start</t>
    <phoneticPr fontId="2"/>
  </si>
  <si>
    <t>climax</t>
    <phoneticPr fontId="2"/>
  </si>
  <si>
    <t>(西側の)最も活動の激烈なのは12日午前10時から13日16時頃とみられる</t>
    <rPh sb="1" eb="3">
      <t>ニシガワ</t>
    </rPh>
    <rPh sb="5" eb="6">
      <t>モット</t>
    </rPh>
    <rPh sb="7" eb="9">
      <t>カツドウ</t>
    </rPh>
    <rPh sb="10" eb="12">
      <t>ゲキレツ</t>
    </rPh>
    <rPh sb="17" eb="18">
      <t>ニチ</t>
    </rPh>
    <rPh sb="18" eb="20">
      <t>ゴゼン</t>
    </rPh>
    <rPh sb="22" eb="23">
      <t>ジ</t>
    </rPh>
    <rPh sb="27" eb="28">
      <t>ニチ</t>
    </rPh>
    <rPh sb="30" eb="32">
      <t>ジゴロ</t>
    </rPh>
    <phoneticPr fontId="2"/>
  </si>
  <si>
    <t>西側最盛期。噴煙柱高度1万m以上と推定</t>
    <rPh sb="0" eb="2">
      <t>ニシガワ</t>
    </rPh>
    <rPh sb="2" eb="5">
      <t>サイセイキ</t>
    </rPh>
    <rPh sb="6" eb="11">
      <t>フンエンチュウコウド</t>
    </rPh>
    <rPh sb="12" eb="13">
      <t>マン</t>
    </rPh>
    <rPh sb="14" eb="16">
      <t>イジョウ</t>
    </rPh>
    <rPh sb="17" eb="19">
      <t>スイテイ</t>
    </rPh>
    <phoneticPr fontId="2"/>
  </si>
  <si>
    <t>鍋山(東)で溶岩が噴出を始めた?</t>
    <rPh sb="0" eb="2">
      <t>ナベヤマ</t>
    </rPh>
    <rPh sb="3" eb="4">
      <t>ヒガシ</t>
    </rPh>
    <rPh sb="6" eb="8">
      <t>ヨウガン</t>
    </rPh>
    <rPh sb="9" eb="11">
      <t>フンシュツ</t>
    </rPh>
    <rPh sb="12" eb="13">
      <t>ハジ</t>
    </rPh>
    <phoneticPr fontId="2"/>
  </si>
  <si>
    <t>(西側) 2.5-3 kmの噴煙を伴う小規模火砕流の繰り返し</t>
    <rPh sb="1" eb="3">
      <t>ニシガワ</t>
    </rPh>
    <rPh sb="14" eb="16">
      <t>フンエン</t>
    </rPh>
    <rPh sb="17" eb="18">
      <t>トモナ</t>
    </rPh>
    <rPh sb="19" eb="22">
      <t>ショウキボ</t>
    </rPh>
    <rPh sb="22" eb="25">
      <t>カサイリュウ</t>
    </rPh>
    <rPh sb="26" eb="27">
      <t>ク</t>
    </rPh>
    <rPh sb="28" eb="29">
      <t>カエ</t>
    </rPh>
    <phoneticPr fontId="2"/>
  </si>
  <si>
    <t>(西側) 溶岩流が目撃される</t>
    <rPh sb="1" eb="3">
      <t>ニシガワ</t>
    </rPh>
    <rPh sb="5" eb="8">
      <t>ヨウガンリュウ</t>
    </rPh>
    <rPh sb="9" eb="11">
      <t>モクゲキ</t>
    </rPh>
    <phoneticPr fontId="2"/>
  </si>
  <si>
    <t>(西側) 軽石降下の終了</t>
    <rPh sb="1" eb="3">
      <t>ニシガワ</t>
    </rPh>
    <rPh sb="5" eb="7">
      <t>カルイシ</t>
    </rPh>
    <rPh sb="7" eb="9">
      <t>コウカ</t>
    </rPh>
    <rPh sb="10" eb="12">
      <t>シュウリョウ</t>
    </rPh>
    <phoneticPr fontId="2"/>
  </si>
  <si>
    <t>湯の平から溶岩が噴出開始</t>
  </si>
  <si>
    <t>(西側) 爆発とともに噴火開始。</t>
    <rPh sb="1" eb="3">
      <t>ニシガワ</t>
    </rPh>
    <rPh sb="5" eb="7">
      <t>バクハツ</t>
    </rPh>
    <rPh sb="11" eb="13">
      <t>フンカ</t>
    </rPh>
    <rPh sb="13" eb="15">
      <t>カイシ</t>
    </rPh>
    <phoneticPr fontId="2"/>
  </si>
  <si>
    <t>(東側) 大黒煙が立ち上り噴火開始</t>
    <rPh sb="1" eb="3">
      <t>ヒガシガワ</t>
    </rPh>
    <rPh sb="5" eb="6">
      <t>ダイ</t>
    </rPh>
    <rPh sb="6" eb="8">
      <t>コクエン</t>
    </rPh>
    <rPh sb="9" eb="10">
      <t>タ</t>
    </rPh>
    <rPh sb="11" eb="12">
      <t>ノボ</t>
    </rPh>
    <rPh sb="13" eb="15">
      <t>フンカ</t>
    </rPh>
    <rPh sb="15" eb="17">
      <t>カイシ</t>
    </rPh>
    <phoneticPr fontId="2"/>
  </si>
  <si>
    <t>(東側) カリフラワー状の噴煙が数千mまで上昇</t>
    <rPh sb="1" eb="3">
      <t>ヒガシガワ</t>
    </rPh>
    <rPh sb="11" eb="12">
      <t>ジョウ</t>
    </rPh>
    <rPh sb="13" eb="15">
      <t>フンエン</t>
    </rPh>
    <rPh sb="16" eb="18">
      <t>スウセン</t>
    </rPh>
    <rPh sb="21" eb="23">
      <t>ジョウショウ</t>
    </rPh>
    <phoneticPr fontId="2"/>
  </si>
  <si>
    <t>(西側) 複数の火砕流と爆発</t>
    <rPh sb="1" eb="3">
      <t>ニシガワ</t>
    </rPh>
    <rPh sb="5" eb="7">
      <t>フクスウ</t>
    </rPh>
    <rPh sb="8" eb="11">
      <t>カサイリュウ</t>
    </rPh>
    <rPh sb="12" eb="14">
      <t>バクハツ</t>
    </rPh>
    <phoneticPr fontId="2"/>
  </si>
  <si>
    <t>(西側) 大きめの火砕流により焼亡被害多数</t>
    <rPh sb="1" eb="3">
      <t>ニシガワ</t>
    </rPh>
    <rPh sb="5" eb="6">
      <t>オオ</t>
    </rPh>
    <rPh sb="9" eb="12">
      <t>カサイリュウ</t>
    </rPh>
    <rPh sb="15" eb="17">
      <t>ショウボウ</t>
    </rPh>
    <rPh sb="17" eb="19">
      <t>ヒガイ</t>
    </rPh>
    <rPh sb="19" eb="21">
      <t>タスウ</t>
    </rPh>
    <phoneticPr fontId="2"/>
  </si>
  <si>
    <t>(東側) 鍋山噴火口の爆発の光景(絵はがき)</t>
    <rPh sb="1" eb="3">
      <t>ヒガシガワ</t>
    </rPh>
    <rPh sb="5" eb="7">
      <t>ナベヤマ</t>
    </rPh>
    <rPh sb="7" eb="10">
      <t>フンカコウ</t>
    </rPh>
    <rPh sb="11" eb="13">
      <t>バクハツ</t>
    </rPh>
    <rPh sb="14" eb="16">
      <t>コウケイ</t>
    </rPh>
    <rPh sb="17" eb="18">
      <t>エ</t>
    </rPh>
    <phoneticPr fontId="2"/>
  </si>
  <si>
    <t>(西側) 夜にかけて爆発は消長を繰り返しながら衰える</t>
    <rPh sb="1" eb="3">
      <t>ニシガワ</t>
    </rPh>
    <rPh sb="5" eb="6">
      <t>ヨル</t>
    </rPh>
    <rPh sb="10" eb="12">
      <t>バクハツ</t>
    </rPh>
    <rPh sb="13" eb="15">
      <t>ショウチョウ</t>
    </rPh>
    <rPh sb="16" eb="17">
      <t>ク</t>
    </rPh>
    <rPh sb="18" eb="19">
      <t>カエ</t>
    </rPh>
    <rPh sb="23" eb="24">
      <t>オトロ</t>
    </rPh>
    <phoneticPr fontId="2"/>
  </si>
  <si>
    <t>(東側) 写真絵はがきに2.5 km程度の噴煙</t>
    <rPh sb="1" eb="3">
      <t>ヒガシガワ</t>
    </rPh>
    <rPh sb="5" eb="7">
      <t>シャシン</t>
    </rPh>
    <rPh sb="7" eb="8">
      <t>エ</t>
    </rPh>
    <rPh sb="18" eb="20">
      <t>テイド</t>
    </rPh>
    <rPh sb="21" eb="23">
      <t>フンエン</t>
    </rPh>
    <phoneticPr fontId="2"/>
  </si>
  <si>
    <t>(西側) 大爆発で市内に降灰、午前中はろうそくが必要だった。夜半まで降灰。午後には薩摩南部にも降灰。</t>
    <rPh sb="1" eb="3">
      <t>ニシガワ</t>
    </rPh>
    <rPh sb="5" eb="8">
      <t>ダイバクハツ</t>
    </rPh>
    <rPh sb="9" eb="11">
      <t>シナイ</t>
    </rPh>
    <rPh sb="12" eb="14">
      <t>コウハイ</t>
    </rPh>
    <rPh sb="15" eb="18">
      <t>ゴゼンチュウ</t>
    </rPh>
    <rPh sb="24" eb="26">
      <t>ヒツヨウ</t>
    </rPh>
    <rPh sb="30" eb="32">
      <t>ヤハン</t>
    </rPh>
    <rPh sb="34" eb="36">
      <t>コウハイ</t>
    </rPh>
    <rPh sb="37" eb="39">
      <t>ゴゴ</t>
    </rPh>
    <rPh sb="41" eb="43">
      <t>サツマ</t>
    </rPh>
    <rPh sb="43" eb="45">
      <t>ナンブ</t>
    </rPh>
    <rPh sb="47" eb="49">
      <t>コウハイ</t>
    </rPh>
    <phoneticPr fontId="2"/>
  </si>
  <si>
    <t>(両側) 間欠的な爆発・空振。溶岩流出継続。</t>
    <rPh sb="1" eb="3">
      <t>リョウガワ</t>
    </rPh>
    <rPh sb="5" eb="8">
      <t>カンケツテキ</t>
    </rPh>
    <rPh sb="9" eb="11">
      <t>バクハツ</t>
    </rPh>
    <rPh sb="12" eb="14">
      <t>クウシン</t>
    </rPh>
    <rPh sb="15" eb="17">
      <t>ヨウガン</t>
    </rPh>
    <rPh sb="17" eb="19">
      <t>リュウシュツ</t>
    </rPh>
    <rPh sb="19" eb="21">
      <t>ケイゾク</t>
    </rPh>
    <phoneticPr fontId="2"/>
  </si>
  <si>
    <t>西側の爆発はほぼ止んだが東側はまだ激しい。</t>
    <rPh sb="0" eb="2">
      <t>ニシガワ</t>
    </rPh>
    <rPh sb="3" eb="5">
      <t>バクハツ</t>
    </rPh>
    <rPh sb="8" eb="9">
      <t>ヤ</t>
    </rPh>
    <rPh sb="12" eb="14">
      <t>ヒガシガワ</t>
    </rPh>
    <rPh sb="17" eb="18">
      <t>ハゲ</t>
    </rPh>
    <phoneticPr fontId="2"/>
  </si>
  <si>
    <t>(東側) 軽石や火山灰を大隅半島まで降下させた</t>
    <rPh sb="1" eb="3">
      <t>ヒガシガワ</t>
    </rPh>
    <rPh sb="5" eb="7">
      <t>カルイシ</t>
    </rPh>
    <rPh sb="8" eb="11">
      <t>カザンバイ</t>
    </rPh>
    <rPh sb="12" eb="14">
      <t>オオスミ</t>
    </rPh>
    <rPh sb="14" eb="16">
      <t>ハントウ</t>
    </rPh>
    <rPh sb="18" eb="20">
      <t>コウカ</t>
    </rPh>
    <phoneticPr fontId="2"/>
  </si>
  <si>
    <t>(西側) 3.3 kmまで噴煙上昇。23日5時までたびたび鹿児島市内に降灰。</t>
    <rPh sb="1" eb="3">
      <t>ニシガワ</t>
    </rPh>
    <rPh sb="13" eb="15">
      <t>フンエン</t>
    </rPh>
    <rPh sb="15" eb="17">
      <t>ジョウショウ</t>
    </rPh>
    <rPh sb="20" eb="21">
      <t>ニチ</t>
    </rPh>
    <rPh sb="22" eb="23">
      <t>ジ</t>
    </rPh>
    <rPh sb="29" eb="32">
      <t>カゴシマ</t>
    </rPh>
    <rPh sb="32" eb="34">
      <t>シナイ</t>
    </rPh>
    <rPh sb="35" eb="37">
      <t>コウハイ</t>
    </rPh>
    <phoneticPr fontId="2"/>
  </si>
  <si>
    <t>西側の一連の溶岩噴出。26日まで。</t>
    <rPh sb="0" eb="2">
      <t>ニシガワ</t>
    </rPh>
    <rPh sb="3" eb="5">
      <t>イチレン</t>
    </rPh>
    <rPh sb="6" eb="8">
      <t>ヨウガン</t>
    </rPh>
    <rPh sb="8" eb="10">
      <t>フンシュツ</t>
    </rPh>
    <rPh sb="13" eb="14">
      <t>ニチ</t>
    </rPh>
    <phoneticPr fontId="2"/>
  </si>
  <si>
    <t>(西側) 間欠的爆発が規模・頻度ともに衰える。</t>
    <rPh sb="1" eb="3">
      <t>ニシガワ</t>
    </rPh>
    <rPh sb="5" eb="8">
      <t>カンケツテキ</t>
    </rPh>
    <rPh sb="8" eb="10">
      <t>バクハツ</t>
    </rPh>
    <rPh sb="11" eb="13">
      <t>キボ</t>
    </rPh>
    <rPh sb="14" eb="16">
      <t>ヒンド</t>
    </rPh>
    <rPh sb="19" eb="20">
      <t>オトロ</t>
    </rPh>
    <phoneticPr fontId="2"/>
  </si>
  <si>
    <t>14時に起きた二次爆発で18mの溶岩が海峡を塞ぎ大隅海峡と地続きになる</t>
    <rPh sb="2" eb="3">
      <t>ジ</t>
    </rPh>
    <rPh sb="4" eb="5">
      <t>オ</t>
    </rPh>
    <rPh sb="7" eb="9">
      <t>ニジ</t>
    </rPh>
    <rPh sb="9" eb="11">
      <t>バクハツ</t>
    </rPh>
    <rPh sb="16" eb="18">
      <t>ヨウガン</t>
    </rPh>
    <rPh sb="19" eb="21">
      <t>カイキョウ</t>
    </rPh>
    <rPh sb="22" eb="23">
      <t>フサ</t>
    </rPh>
    <rPh sb="24" eb="26">
      <t>オオスミ</t>
    </rPh>
    <rPh sb="26" eb="28">
      <t>カイキョウ</t>
    </rPh>
    <rPh sb="29" eb="31">
      <t>ジツヅ</t>
    </rPh>
    <phoneticPr fontId="2"/>
  </si>
  <si>
    <t>(西側) 一連の最後の爆発</t>
    <rPh sb="1" eb="3">
      <t>ニシガワ</t>
    </rPh>
    <rPh sb="5" eb="7">
      <t>イチレン</t>
    </rPh>
    <rPh sb="8" eb="10">
      <t>サイゴ</t>
    </rPh>
    <rPh sb="11" eb="13">
      <t>バクハツ</t>
    </rPh>
    <phoneticPr fontId="2"/>
  </si>
  <si>
    <t>(東側) 噴火旺盛。薩摩半島や大隅南部へ降灰をもたらすような噴火を6月まで繰り返した</t>
    <rPh sb="1" eb="3">
      <t>ヒガシガワ</t>
    </rPh>
    <rPh sb="5" eb="7">
      <t>フンカ</t>
    </rPh>
    <rPh sb="7" eb="9">
      <t>オウセイ</t>
    </rPh>
    <rPh sb="10" eb="12">
      <t>サツマ</t>
    </rPh>
    <rPh sb="12" eb="14">
      <t>ハントウ</t>
    </rPh>
    <rPh sb="15" eb="17">
      <t>オオスミ</t>
    </rPh>
    <rPh sb="17" eb="19">
      <t>ナンブ</t>
    </rPh>
    <rPh sb="20" eb="22">
      <t>コウハイ</t>
    </rPh>
    <rPh sb="30" eb="32">
      <t>フンカ</t>
    </rPh>
    <rPh sb="34" eb="35">
      <t>ガツ</t>
    </rPh>
    <rPh sb="37" eb="38">
      <t>ク</t>
    </rPh>
    <rPh sb="39" eb="40">
      <t>カエ</t>
    </rPh>
    <phoneticPr fontId="2"/>
  </si>
  <si>
    <t>(東側) 間欠的爆発の強度・頻度ともに衰える</t>
    <rPh sb="1" eb="3">
      <t>ヒガシガワ</t>
    </rPh>
    <rPh sb="5" eb="8">
      <t>カンケツテキ</t>
    </rPh>
    <rPh sb="8" eb="10">
      <t>バクハツ</t>
    </rPh>
    <rPh sb="11" eb="13">
      <t>キョウド</t>
    </rPh>
    <rPh sb="14" eb="16">
      <t>ヒンド</t>
    </rPh>
    <rPh sb="19" eb="20">
      <t>オトロ</t>
    </rPh>
    <phoneticPr fontId="2"/>
  </si>
  <si>
    <t>東側の一連の溶岩噴出は12月まで継続した</t>
    <rPh sb="0" eb="2">
      <t>ヒガシガワ</t>
    </rPh>
    <rPh sb="3" eb="5">
      <t>イチレン</t>
    </rPh>
    <rPh sb="6" eb="8">
      <t>ヨウガン</t>
    </rPh>
    <rPh sb="8" eb="10">
      <t>フンシュツ</t>
    </rPh>
    <rPh sb="13" eb="14">
      <t>ガツ</t>
    </rPh>
    <rPh sb="16" eb="18">
      <t>ケイゾク</t>
    </rPh>
    <phoneticPr fontId="2"/>
  </si>
  <si>
    <t>end</t>
    <phoneticPr fontId="2"/>
  </si>
  <si>
    <t>(東側) 溶岩流出の終了。溶岩の流動は翌年半ばまで続いた。</t>
    <rPh sb="1" eb="3">
      <t>ヒガシガワ</t>
    </rPh>
    <rPh sb="5" eb="7">
      <t>ヨウガン</t>
    </rPh>
    <rPh sb="7" eb="9">
      <t>リュウシュツ</t>
    </rPh>
    <rPh sb="10" eb="12">
      <t>シュウリョウ</t>
    </rPh>
    <rPh sb="13" eb="15">
      <t>ヨウガン</t>
    </rPh>
    <rPh sb="16" eb="18">
      <t>リュウドウ</t>
    </rPh>
    <rPh sb="19" eb="21">
      <t>ヨクネン</t>
    </rPh>
    <rPh sb="21" eb="22">
      <t>ナカ</t>
    </rPh>
    <rPh sb="25" eb="26">
      <t>ツヅ</t>
    </rPh>
    <phoneticPr fontId="2"/>
  </si>
  <si>
    <t>小噴火</t>
    <rPh sb="0" eb="3">
      <t>ショウフンカ</t>
    </rPh>
    <phoneticPr fontId="2"/>
  </si>
  <si>
    <t>静穏状態</t>
    <rPh sb="0" eb="2">
      <t>セイオン</t>
    </rPh>
    <rPh sb="2" eb="4">
      <t>ジョウタイ</t>
    </rPh>
    <phoneticPr fontId="2"/>
  </si>
  <si>
    <t>規模の大きなブルカノ式噴火</t>
    <rPh sb="0" eb="2">
      <t>キボ</t>
    </rPh>
    <rPh sb="3" eb="4">
      <t>オオ</t>
    </rPh>
    <rPh sb="10" eb="11">
      <t>シキ</t>
    </rPh>
    <rPh sb="11" eb="13">
      <t>フンカ</t>
    </rPh>
    <phoneticPr fontId="2"/>
  </si>
  <si>
    <t>間欠的な小規模な噴火</t>
    <rPh sb="0" eb="3">
      <t>カンケツテキ</t>
    </rPh>
    <rPh sb="4" eb="7">
      <t>ショウキボ</t>
    </rPh>
    <rPh sb="8" eb="10">
      <t>フンカ</t>
    </rPh>
    <phoneticPr fontId="2"/>
  </si>
  <si>
    <t>サブプリニー式噴火</t>
    <rPh sb="6" eb="7">
      <t>シキ</t>
    </rPh>
    <rPh sb="7" eb="9">
      <t>フンカ</t>
    </rPh>
    <phoneticPr fontId="2"/>
  </si>
  <si>
    <t>断続的な噴火</t>
    <rPh sb="0" eb="3">
      <t>ダンゾクテキ</t>
    </rPh>
    <rPh sb="4" eb="6">
      <t>フンカ</t>
    </rPh>
    <phoneticPr fontId="2"/>
  </si>
  <si>
    <t>断続的なサブプリニー式噴火</t>
    <rPh sb="0" eb="3">
      <t>ダンゾクテキ</t>
    </rPh>
    <rPh sb="10" eb="13">
      <t>シキフンカ</t>
    </rPh>
    <phoneticPr fontId="2"/>
  </si>
  <si>
    <t>比較的静穏な状態</t>
    <rPh sb="0" eb="3">
      <t>ヒカクテキ</t>
    </rPh>
    <rPh sb="3" eb="5">
      <t>セイオン</t>
    </rPh>
    <rPh sb="6" eb="8">
      <t>ジョウタイ</t>
    </rPh>
    <phoneticPr fontId="2"/>
  </si>
  <si>
    <t>噴火が激化。規模は断続的に変化。大量の降下軽石。</t>
    <rPh sb="0" eb="2">
      <t>フンカ</t>
    </rPh>
    <rPh sb="3" eb="5">
      <t>ゲキカ</t>
    </rPh>
    <rPh sb="6" eb="8">
      <t>キボ</t>
    </rPh>
    <rPh sb="9" eb="12">
      <t>ダンゾクテキ</t>
    </rPh>
    <rPh sb="13" eb="15">
      <t>ヘンカ</t>
    </rPh>
    <rPh sb="16" eb="18">
      <t>タイリョウ</t>
    </rPh>
    <rPh sb="19" eb="21">
      <t>コウカ</t>
    </rPh>
    <rPh sb="21" eb="23">
      <t>カルイシ</t>
    </rPh>
    <phoneticPr fontId="2"/>
  </si>
  <si>
    <t>小規模な噴火が断続的に発生</t>
    <rPh sb="0" eb="3">
      <t>ショウキボ</t>
    </rPh>
    <rPh sb="4" eb="6">
      <t>フンカ</t>
    </rPh>
    <rPh sb="7" eb="9">
      <t>ダンゾク</t>
    </rPh>
    <rPh sb="9" eb="10">
      <t>テキ</t>
    </rPh>
    <rPh sb="11" eb="13">
      <t>ハッセイ</t>
    </rPh>
    <phoneticPr fontId="2"/>
  </si>
  <si>
    <t>鎌原岩屑なだれ</t>
    <rPh sb="0" eb="4">
      <t>カンバラガンセツ</t>
    </rPh>
    <phoneticPr fontId="2"/>
  </si>
  <si>
    <t>start</t>
    <phoneticPr fontId="2"/>
  </si>
  <si>
    <t>噴火の極大期。</t>
    <rPh sb="0" eb="2">
      <t>フンカ</t>
    </rPh>
    <rPh sb="3" eb="5">
      <t>キョクダイ</t>
    </rPh>
    <rPh sb="5" eb="6">
      <t>キ</t>
    </rPh>
    <phoneticPr fontId="2"/>
  </si>
  <si>
    <t>釜山火砕丘の形成。鬼押し出し溶岩・吾妻火砕流。</t>
  </si>
  <si>
    <t>Vesuvius 79AD Column</t>
    <phoneticPr fontId="2"/>
  </si>
  <si>
    <t>Hours at August 25</t>
    <phoneticPr fontId="2"/>
  </si>
  <si>
    <t>Eruption Column Height [km]</t>
    <phoneticPr fontId="2"/>
  </si>
  <si>
    <t>Carey and Sigurdsson (1987)</t>
    <phoneticPr fontId="2"/>
  </si>
  <si>
    <t>カンパニア州で大きな地震</t>
    <rPh sb="5" eb="6">
      <t>シュウ</t>
    </rPh>
    <rPh sb="7" eb="8">
      <t>オオ</t>
    </rPh>
    <rPh sb="10" eb="12">
      <t>ジシン</t>
    </rPh>
    <phoneticPr fontId="2"/>
  </si>
  <si>
    <t>有感地震の増加。停止した湧水多数。</t>
    <rPh sb="0" eb="2">
      <t>ユウカン</t>
    </rPh>
    <rPh sb="2" eb="4">
      <t>ジシン</t>
    </rPh>
    <rPh sb="5" eb="7">
      <t>ゾウカ</t>
    </rPh>
    <rPh sb="8" eb="10">
      <t>テイシ</t>
    </rPh>
    <rPh sb="12" eb="14">
      <t>ユウスイ</t>
    </rPh>
    <rPh sb="14" eb="16">
      <t>タスウ</t>
    </rPh>
    <phoneticPr fontId="2"/>
  </si>
  <si>
    <t>夜明け頃、地震活動ピーク。小津波。</t>
    <rPh sb="0" eb="2">
      <t>ヨア</t>
    </rPh>
    <rPh sb="3" eb="4">
      <t>ゴロ</t>
    </rPh>
    <rPh sb="5" eb="7">
      <t>ジシン</t>
    </rPh>
    <rPh sb="7" eb="9">
      <t>カツドウ</t>
    </rPh>
    <rPh sb="13" eb="14">
      <t>ショウ</t>
    </rPh>
    <rPh sb="14" eb="16">
      <t>ツナミ</t>
    </rPh>
    <phoneticPr fontId="2"/>
  </si>
  <si>
    <t>Sigurdsson et al. (1982)</t>
    <phoneticPr fontId="2"/>
  </si>
  <si>
    <t>Hours since eruption</t>
    <phoneticPr fontId="2"/>
  </si>
  <si>
    <t>Gurioli et al. (2005)</t>
    <phoneticPr fontId="2"/>
  </si>
  <si>
    <t>マグマ混交した噴出物</t>
    <rPh sb="3" eb="5">
      <t>コンコウ</t>
    </rPh>
    <rPh sb="7" eb="10">
      <t>フンシュツブツ</t>
    </rPh>
    <phoneticPr fontId="2"/>
  </si>
  <si>
    <t>カルデラの陥没開始</t>
    <rPh sb="5" eb="7">
      <t>カンボツ</t>
    </rPh>
    <rPh sb="7" eb="9">
      <t>カイシ</t>
    </rPh>
    <phoneticPr fontId="2"/>
  </si>
  <si>
    <t>Pulsating plinian column。混合の完了。</t>
    <rPh sb="25" eb="27">
      <t>コンゴウ</t>
    </rPh>
    <rPh sb="28" eb="30">
      <t>カンリョウ</t>
    </rPh>
    <phoneticPr fontId="2"/>
  </si>
  <si>
    <t>White pumiceマグマからGrey pumiceマグマに徐々に変化</t>
    <rPh sb="32" eb="34">
      <t>ジョジョ</t>
    </rPh>
    <rPh sb="35" eb="37">
      <t>ヘンカ</t>
    </rPh>
    <phoneticPr fontId="2"/>
  </si>
  <si>
    <t>地震</t>
    <rPh sb="0" eb="2">
      <t>ジシン</t>
    </rPh>
    <phoneticPr fontId="2"/>
  </si>
  <si>
    <t>kg/s estimated by assumption 2600 kg/m3 of typical basaltic andesite - phonolite magma and H[km]=2*V[m3/s DRE]^0.24 of Mastin et al. (2009)</t>
    <phoneticPr fontId="2"/>
  </si>
  <si>
    <t>Nondimension plume height in illustration</t>
    <phoneticPr fontId="2"/>
  </si>
  <si>
    <t>プリニー式噴火開始 EC2</t>
    <rPh sb="4" eb="7">
      <t>シキフンカ</t>
    </rPh>
    <rPh sb="7" eb="9">
      <t>カイシ</t>
    </rPh>
    <phoneticPr fontId="2"/>
  </si>
  <si>
    <t>完全にGrey pumiceに。 EC3</t>
    <rPh sb="0" eb="2">
      <t>カンゼン</t>
    </rPh>
    <phoneticPr fontId="2"/>
  </si>
  <si>
    <t>大量の岩片。急激な減圧。大規模なP6火砕流。</t>
    <rPh sb="0" eb="2">
      <t>タイリョウ</t>
    </rPh>
    <rPh sb="3" eb="4">
      <t>ガン</t>
    </rPh>
    <rPh sb="4" eb="5">
      <t>ペン</t>
    </rPh>
    <rPh sb="6" eb="8">
      <t>キュウゲキ</t>
    </rPh>
    <rPh sb="9" eb="11">
      <t>ゲンアツ</t>
    </rPh>
    <rPh sb="12" eb="15">
      <t>ダイキボ</t>
    </rPh>
    <rPh sb="18" eb="21">
      <t>カサイリュウ</t>
    </rPh>
    <phoneticPr fontId="2"/>
  </si>
  <si>
    <t>時間不詳。しばらく水蒸気爆発が続いた。 EC4-8</t>
    <rPh sb="0" eb="2">
      <t>ジカン</t>
    </rPh>
    <rPh sb="2" eb="4">
      <t>フショウ</t>
    </rPh>
    <rPh sb="9" eb="14">
      <t>スイジョウキバクハツ</t>
    </rPh>
    <rPh sb="15" eb="16">
      <t>ツヅ</t>
    </rPh>
    <phoneticPr fontId="2"/>
  </si>
  <si>
    <t>Cioni et al. (1992)</t>
    <phoneticPr fontId="2"/>
  </si>
  <si>
    <t>climax</t>
    <phoneticPr fontId="2"/>
  </si>
  <si>
    <t>Self (1992) Fig.3</t>
    <phoneticPr fontId="2"/>
  </si>
  <si>
    <t>クライマックス噴火開始</t>
    <rPh sb="7" eb="9">
      <t>フンカ</t>
    </rPh>
    <rPh sb="9" eb="11">
      <t>カイシ</t>
    </rPh>
    <phoneticPr fontId="2"/>
  </si>
  <si>
    <t>ジャカルタで最初の爆発音が観測される</t>
    <rPh sb="6" eb="8">
      <t>サイショ</t>
    </rPh>
    <rPh sb="9" eb="12">
      <t>バクハツオン</t>
    </rPh>
    <rPh sb="13" eb="15">
      <t>カンソク</t>
    </rPh>
    <phoneticPr fontId="2"/>
  </si>
  <si>
    <t>最初の津波（以降不詳</t>
    <rPh sb="0" eb="2">
      <t>サイショ</t>
    </rPh>
    <rPh sb="3" eb="5">
      <t>ツナミ</t>
    </rPh>
    <rPh sb="6" eb="8">
      <t>イコウ</t>
    </rPh>
    <rPh sb="8" eb="10">
      <t>フショウ</t>
    </rPh>
    <phoneticPr fontId="2"/>
  </si>
  <si>
    <t>大きな津波</t>
    <rPh sb="0" eb="1">
      <t>オオ</t>
    </rPh>
    <rPh sb="3" eb="5">
      <t>ツナミ</t>
    </rPh>
    <phoneticPr fontId="2"/>
  </si>
  <si>
    <t>最も大きな爆発音と津波</t>
    <rPh sb="0" eb="1">
      <t>モット</t>
    </rPh>
    <rPh sb="2" eb="3">
      <t>オオ</t>
    </rPh>
    <rPh sb="5" eb="8">
      <t>バクハツオン</t>
    </rPh>
    <rPh sb="9" eb="11">
      <t>ツナミ</t>
    </rPh>
    <phoneticPr fontId="2"/>
  </si>
  <si>
    <t>水上を滑走した火砕流による？</t>
    <rPh sb="0" eb="2">
      <t>スイジョウ</t>
    </rPh>
    <rPh sb="3" eb="5">
      <t>カッソウ</t>
    </rPh>
    <rPh sb="7" eb="10">
      <t>カサイリュウ</t>
    </rPh>
    <phoneticPr fontId="2"/>
  </si>
  <si>
    <t>この頃大きな爆発音が聞こえなくなる</t>
    <rPh sb="2" eb="3">
      <t>コロ</t>
    </rPh>
    <rPh sb="3" eb="4">
      <t>オオ</t>
    </rPh>
    <rPh sb="6" eb="9">
      <t>バクハツオン</t>
    </rPh>
    <rPh sb="10" eb="11">
      <t>キ</t>
    </rPh>
    <phoneticPr fontId="2"/>
  </si>
  <si>
    <t>9月末まで地震活動が継続</t>
    <rPh sb="1" eb="3">
      <t>ガツマツ</t>
    </rPh>
    <rPh sb="5" eb="7">
      <t>ジシン</t>
    </rPh>
    <rPh sb="7" eb="9">
      <t>カツドウ</t>
    </rPh>
    <rPh sb="10" eb="12">
      <t>ケイゾク</t>
    </rPh>
    <phoneticPr fontId="2"/>
  </si>
  <si>
    <t>end</t>
    <phoneticPr fontId="2"/>
  </si>
  <si>
    <t>Lampong Bayで泥雨。1時間後灰雨に。</t>
    <rPh sb="12" eb="13">
      <t>ドロ</t>
    </rPh>
    <rPh sb="13" eb="14">
      <t>アメ</t>
    </rPh>
    <rPh sb="16" eb="19">
      <t>ジカンゴ</t>
    </rPh>
    <rPh sb="19" eb="20">
      <t>ハイ</t>
    </rPh>
    <rPh sb="20" eb="21">
      <t>アメ</t>
    </rPh>
    <phoneticPr fontId="2"/>
  </si>
  <si>
    <t>このころ噴煙柱高度40 km以上</t>
    <rPh sb="4" eb="6">
      <t>フンエン</t>
    </rPh>
    <rPh sb="6" eb="7">
      <t>チュウ</t>
    </rPh>
    <rPh sb="7" eb="9">
      <t>コウド</t>
    </rPh>
    <rPh sb="14" eb="16">
      <t>イジョウ</t>
    </rPh>
    <phoneticPr fontId="2"/>
  </si>
  <si>
    <t>Pinatubo 1991 SO2 emission</t>
    <phoneticPr fontId="2"/>
  </si>
  <si>
    <t>Date in 1991</t>
    <phoneticPr fontId="2"/>
  </si>
  <si>
    <t>SO2 t/day</t>
    <phoneticPr fontId="2"/>
  </si>
  <si>
    <t>Daag et al. (1996) Fire and Mud</t>
    <phoneticPr fontId="2"/>
  </si>
  <si>
    <t>Hoblitt et al. (1996) Fire and Mud</t>
    <phoneticPr fontId="2"/>
  </si>
  <si>
    <t>SO2放出 3000-5000t/day 5/27,28</t>
    <phoneticPr fontId="2"/>
  </si>
  <si>
    <t>SO2放出 1000t/day台  5/20,21,24</t>
    <rPh sb="15" eb="16">
      <t>ダイ</t>
    </rPh>
    <phoneticPr fontId="2"/>
  </si>
  <si>
    <t>SO2放出 1000t/day以下  5/13,16</t>
    <rPh sb="3" eb="5">
      <t>ホウシュツ</t>
    </rPh>
    <rPh sb="15" eb="17">
      <t>イカ</t>
    </rPh>
    <phoneticPr fontId="2"/>
  </si>
  <si>
    <t>SO2放出 2000t/day以下 5/30, 6/3,5,7,8</t>
    <rPh sb="15" eb="17">
      <t>イカ</t>
    </rPh>
    <phoneticPr fontId="2"/>
  </si>
  <si>
    <t>SO2放出 &gt;13000 t/day</t>
    <phoneticPr fontId="2"/>
  </si>
  <si>
    <t>SO2放出 5170 t/day</t>
    <phoneticPr fontId="2"/>
  </si>
  <si>
    <t>SO2放出 1240 t/day</t>
    <phoneticPr fontId="2"/>
  </si>
  <si>
    <t>SO2放出 3240 t/day</t>
    <phoneticPr fontId="2"/>
  </si>
  <si>
    <t>SO2放出 20 t/day</t>
    <phoneticPr fontId="2"/>
  </si>
  <si>
    <t>Daag et al. (1996) Fire and Mud</t>
    <phoneticPr fontId="2"/>
  </si>
  <si>
    <t>Sabit et al. (1996) Fire and Mud</t>
    <phoneticPr fontId="2"/>
  </si>
  <si>
    <t>北東山中で局所的な有感地震が増え始める(地震計増設以前)</t>
    <rPh sb="0" eb="2">
      <t>ホクトウ</t>
    </rPh>
    <rPh sb="2" eb="4">
      <t>サンチュウ</t>
    </rPh>
    <rPh sb="5" eb="8">
      <t>キョクショテキ</t>
    </rPh>
    <rPh sb="9" eb="13">
      <t>ユウカンジシン</t>
    </rPh>
    <rPh sb="14" eb="15">
      <t>フ</t>
    </rPh>
    <rPh sb="16" eb="17">
      <t>ハジ</t>
    </rPh>
    <rPh sb="20" eb="23">
      <t>ジシンケイ</t>
    </rPh>
    <rPh sb="23" eb="25">
      <t>ゾウセツ</t>
    </rPh>
    <rPh sb="25" eb="27">
      <t>イゼン</t>
    </rPh>
    <phoneticPr fontId="2"/>
  </si>
  <si>
    <t>時刻不詳。早朝、急激な有感地震の増加。</t>
    <rPh sb="0" eb="2">
      <t>ジコク</t>
    </rPh>
    <rPh sb="2" eb="4">
      <t>フショウ</t>
    </rPh>
    <rPh sb="5" eb="7">
      <t>ソウチョウ</t>
    </rPh>
    <rPh sb="8" eb="10">
      <t>キュウゲキ</t>
    </rPh>
    <rPh sb="11" eb="15">
      <t>ユウカンジシン</t>
    </rPh>
    <rPh sb="16" eb="18">
      <t>ゾウカ</t>
    </rPh>
    <phoneticPr fontId="2"/>
  </si>
  <si>
    <t>定常的な高周波火山性地震</t>
    <rPh sb="0" eb="3">
      <t>テイジョウテキ</t>
    </rPh>
    <rPh sb="4" eb="7">
      <t>コウシュウハ</t>
    </rPh>
    <rPh sb="7" eb="10">
      <t>カザンセイ</t>
    </rPh>
    <rPh sb="10" eb="12">
      <t>ジシン</t>
    </rPh>
    <phoneticPr fontId="2"/>
  </si>
  <si>
    <t>地震活動に低周波地震と微動が増える。6/8に微動が地震波形を覆い隠す</t>
    <rPh sb="0" eb="2">
      <t>ジシン</t>
    </rPh>
    <rPh sb="2" eb="4">
      <t>カツドウ</t>
    </rPh>
    <rPh sb="5" eb="8">
      <t>テイシュウハ</t>
    </rPh>
    <rPh sb="8" eb="10">
      <t>ジシン</t>
    </rPh>
    <rPh sb="11" eb="13">
      <t>ビドウ</t>
    </rPh>
    <rPh sb="14" eb="15">
      <t>フ</t>
    </rPh>
    <rPh sb="22" eb="24">
      <t>ビドウ</t>
    </rPh>
    <rPh sb="25" eb="27">
      <t>ジシン</t>
    </rPh>
    <rPh sb="27" eb="29">
      <t>ハケイ</t>
    </rPh>
    <rPh sb="30" eb="31">
      <t>オオ</t>
    </rPh>
    <rPh sb="32" eb="33">
      <t>カク</t>
    </rPh>
    <phoneticPr fontId="2"/>
  </si>
  <si>
    <t>北部山腹に北東方向1.5kmの割れ目が開き水蒸気爆発。夜の帳が下りるまで爆発が継続。</t>
    <rPh sb="0" eb="2">
      <t>ホクブ</t>
    </rPh>
    <rPh sb="2" eb="4">
      <t>サンプク</t>
    </rPh>
    <rPh sb="5" eb="7">
      <t>ホクトウ</t>
    </rPh>
    <rPh sb="7" eb="9">
      <t>ホウコウ</t>
    </rPh>
    <rPh sb="15" eb="16">
      <t>ワ</t>
    </rPh>
    <rPh sb="17" eb="18">
      <t>メ</t>
    </rPh>
    <rPh sb="19" eb="20">
      <t>ヒラ</t>
    </rPh>
    <rPh sb="21" eb="24">
      <t>スイジョウキ</t>
    </rPh>
    <rPh sb="24" eb="26">
      <t>バクハツ</t>
    </rPh>
    <rPh sb="27" eb="28">
      <t>ヨル</t>
    </rPh>
    <rPh sb="29" eb="30">
      <t>トバリ</t>
    </rPh>
    <rPh sb="31" eb="32">
      <t>オ</t>
    </rPh>
    <rPh sb="36" eb="38">
      <t>バクハツ</t>
    </rPh>
    <rPh sb="39" eb="41">
      <t>ケイゾク</t>
    </rPh>
    <phoneticPr fontId="2"/>
  </si>
  <si>
    <t>その後3つの噴気孔に収束して噴気活動。暴噴状態になることも。</t>
    <rPh sb="19" eb="21">
      <t>ボウフン</t>
    </rPh>
    <rPh sb="21" eb="23">
      <t>ジョウタイ</t>
    </rPh>
    <phoneticPr fontId="2"/>
  </si>
  <si>
    <t>この頃から噴気孔から少量の火山灰が頻繁に噴出するようになる。</t>
    <rPh sb="2" eb="3">
      <t>コロ</t>
    </rPh>
    <rPh sb="5" eb="8">
      <t>フンキコウ</t>
    </rPh>
    <rPh sb="10" eb="12">
      <t>ショウリョウ</t>
    </rPh>
    <rPh sb="13" eb="16">
      <t>カザンバイ</t>
    </rPh>
    <rPh sb="17" eb="19">
      <t>ヒンパン</t>
    </rPh>
    <rPh sb="20" eb="22">
      <t>フンシュツ</t>
    </rPh>
    <phoneticPr fontId="2"/>
  </si>
  <si>
    <t>この後噴気からの降灰が顕著になる。数十km先でも降灰</t>
    <rPh sb="2" eb="3">
      <t>アト</t>
    </rPh>
    <rPh sb="3" eb="5">
      <t>フンキ</t>
    </rPh>
    <rPh sb="8" eb="10">
      <t>コウハイ</t>
    </rPh>
    <rPh sb="11" eb="13">
      <t>ケンチョ</t>
    </rPh>
    <rPh sb="17" eb="19">
      <t>スウジュウ</t>
    </rPh>
    <rPh sb="21" eb="22">
      <t>サキ</t>
    </rPh>
    <rPh sb="24" eb="26">
      <t>コウハイ</t>
    </rPh>
    <phoneticPr fontId="2"/>
  </si>
  <si>
    <t>間欠的に噴煙高度4000-5000m程度の灰噴火</t>
    <rPh sb="0" eb="3">
      <t>カンケツテキ</t>
    </rPh>
    <rPh sb="4" eb="6">
      <t>フンエン</t>
    </rPh>
    <rPh sb="6" eb="8">
      <t>コウド</t>
    </rPh>
    <rPh sb="18" eb="20">
      <t>テイド</t>
    </rPh>
    <rPh sb="21" eb="24">
      <t>ハイフンカ</t>
    </rPh>
    <phoneticPr fontId="2"/>
  </si>
  <si>
    <t>地震活動の高まり</t>
    <rPh sb="0" eb="2">
      <t>ジシン</t>
    </rPh>
    <rPh sb="2" eb="4">
      <t>カツドウ</t>
    </rPh>
    <rPh sb="5" eb="6">
      <t>タカ</t>
    </rPh>
    <phoneticPr fontId="2"/>
  </si>
  <si>
    <t>15日まで激しい有感地震が多発</t>
    <rPh sb="2" eb="3">
      <t>ニチ</t>
    </rPh>
    <rPh sb="5" eb="6">
      <t>ハゲ</t>
    </rPh>
    <rPh sb="8" eb="10">
      <t>ユウカン</t>
    </rPh>
    <rPh sb="10" eb="12">
      <t>ジシン</t>
    </rPh>
    <rPh sb="13" eb="15">
      <t>タハツ</t>
    </rPh>
    <phoneticPr fontId="2"/>
  </si>
  <si>
    <t>噴気孔が事実上噴火口になる。間欠的な灰の放出。6/14 2:00に微弱な噴気にまで弱まる</t>
    <rPh sb="0" eb="3">
      <t>フンキコウ</t>
    </rPh>
    <rPh sb="4" eb="7">
      <t>ジジツジョウ</t>
    </rPh>
    <rPh sb="7" eb="10">
      <t>フンカコウ</t>
    </rPh>
    <rPh sb="14" eb="17">
      <t>カンケツテキ</t>
    </rPh>
    <rPh sb="18" eb="19">
      <t>ハイ</t>
    </rPh>
    <rPh sb="20" eb="22">
      <t>ホウシュツ</t>
    </rPh>
    <rPh sb="33" eb="35">
      <t>ビジャク</t>
    </rPh>
    <rPh sb="36" eb="38">
      <t>フンキ</t>
    </rPh>
    <rPh sb="41" eb="42">
      <t>ヨワ</t>
    </rPh>
    <phoneticPr fontId="2"/>
  </si>
  <si>
    <t>6/7-8にかけて活動の高まり。噴煙高度7-8km。傾斜計変動。</t>
    <rPh sb="9" eb="11">
      <t>カツドウ</t>
    </rPh>
    <rPh sb="12" eb="13">
      <t>タカ</t>
    </rPh>
    <rPh sb="16" eb="18">
      <t>フンエン</t>
    </rPh>
    <rPh sb="18" eb="20">
      <t>コウド</t>
    </rPh>
    <rPh sb="26" eb="29">
      <t>ケイシャケイ</t>
    </rPh>
    <rPh sb="29" eb="31">
      <t>ヘンドウ</t>
    </rPh>
    <phoneticPr fontId="2"/>
  </si>
  <si>
    <t>北麓で溶岩ドーム形成開始。少なくとも11日までは成長継続</t>
    <rPh sb="0" eb="2">
      <t>ホクロク</t>
    </rPh>
    <rPh sb="3" eb="5">
      <t>ヨウガン</t>
    </rPh>
    <rPh sb="8" eb="12">
      <t>ケイセイカイシ</t>
    </rPh>
    <rPh sb="13" eb="14">
      <t>スク</t>
    </rPh>
    <rPh sb="20" eb="21">
      <t>ニチ</t>
    </rPh>
    <rPh sb="24" eb="26">
      <t>セイチョウ</t>
    </rPh>
    <rPh sb="26" eb="28">
      <t>ケイゾク</t>
    </rPh>
    <phoneticPr fontId="2"/>
  </si>
  <si>
    <t>噴火。雷雲と重なって不確実ながら噴煙柱高度11-12 km?</t>
    <rPh sb="0" eb="2">
      <t>フンカ</t>
    </rPh>
    <rPh sb="3" eb="5">
      <t>ライウン</t>
    </rPh>
    <rPh sb="6" eb="7">
      <t>カサ</t>
    </rPh>
    <rPh sb="10" eb="13">
      <t>フカクジツ</t>
    </rPh>
    <rPh sb="16" eb="21">
      <t>フンエンバシラコウド</t>
    </rPh>
    <phoneticPr fontId="2"/>
  </si>
  <si>
    <t>台風接近により視程悪化。この頃から個別の噴火の判別が困難に。</t>
    <rPh sb="0" eb="2">
      <t>タイフウ</t>
    </rPh>
    <rPh sb="2" eb="4">
      <t>セッキン</t>
    </rPh>
    <rPh sb="7" eb="9">
      <t>シテイ</t>
    </rPh>
    <rPh sb="9" eb="11">
      <t>アッカ</t>
    </rPh>
    <rPh sb="14" eb="15">
      <t>コロ</t>
    </rPh>
    <rPh sb="17" eb="19">
      <t>コベツ</t>
    </rPh>
    <rPh sb="20" eb="22">
      <t>フンカ</t>
    </rPh>
    <rPh sb="23" eb="25">
      <t>ハンベツ</t>
    </rPh>
    <rPh sb="26" eb="28">
      <t>コンナン</t>
    </rPh>
    <phoneticPr fontId="2"/>
  </si>
  <si>
    <t>噴煙柱高度18km? 大規模な火砕流が全周に噴出。最大15km滑走。</t>
    <rPh sb="0" eb="5">
      <t>フンエンバシラコウド</t>
    </rPh>
    <rPh sb="11" eb="14">
      <t>ダイキボ</t>
    </rPh>
    <rPh sb="15" eb="18">
      <t>カサイリュウ</t>
    </rPh>
    <rPh sb="19" eb="21">
      <t>ゼンシュウ</t>
    </rPh>
    <rPh sb="22" eb="24">
      <t>フンシュツ</t>
    </rPh>
    <rPh sb="25" eb="27">
      <t>サイダイ</t>
    </rPh>
    <rPh sb="31" eb="33">
      <t>カッソウ</t>
    </rPh>
    <phoneticPr fontId="2"/>
  </si>
  <si>
    <t>噴煙柱高度21km。</t>
    <rPh sb="0" eb="2">
      <t>フンエン</t>
    </rPh>
    <rPh sb="2" eb="3">
      <t>チュウ</t>
    </rPh>
    <rPh sb="3" eb="5">
      <t>コウド</t>
    </rPh>
    <phoneticPr fontId="2"/>
  </si>
  <si>
    <t>Fourth large vertical eruptio</t>
  </si>
  <si>
    <t xml:space="preserve"> 噴煙柱高度24 km以上</t>
    <phoneticPr fontId="2"/>
  </si>
  <si>
    <t>Third large vertical eruption</t>
  </si>
  <si>
    <t>噴煙柱高度24 km以上</t>
    <rPh sb="0" eb="5">
      <t>フンエンバシラコウド</t>
    </rPh>
    <rPh sb="10" eb="12">
      <t>イジョウ</t>
    </rPh>
    <phoneticPr fontId="2"/>
  </si>
  <si>
    <t>Second large vertical eruption</t>
  </si>
  <si>
    <t>噴煙柱高度20km以上。軽石降下。</t>
    <rPh sb="0" eb="2">
      <t>フンエン</t>
    </rPh>
    <rPh sb="2" eb="3">
      <t>チュウ</t>
    </rPh>
    <rPh sb="3" eb="5">
      <t>コウド</t>
    </rPh>
    <rPh sb="9" eb="11">
      <t>イジョウ</t>
    </rPh>
    <rPh sb="12" eb="14">
      <t>カルイシ</t>
    </rPh>
    <rPh sb="14" eb="16">
      <t>コウカ</t>
    </rPh>
    <phoneticPr fontId="2"/>
  </si>
  <si>
    <t>First large vertical eruption</t>
  </si>
  <si>
    <t>First large Phase V eruption</t>
    <phoneticPr fontId="2"/>
  </si>
  <si>
    <t>Second large Phase V eruption</t>
    <phoneticPr fontId="2"/>
  </si>
  <si>
    <t>噴煙柱高度24km以上。火砕流不明。</t>
    <rPh sb="0" eb="5">
      <t>フンエンバシラコウド</t>
    </rPh>
    <rPh sb="9" eb="11">
      <t>イジョウ</t>
    </rPh>
    <rPh sb="12" eb="15">
      <t>カサイリュウ</t>
    </rPh>
    <rPh sb="15" eb="17">
      <t>フメイ</t>
    </rPh>
    <phoneticPr fontId="2"/>
  </si>
  <si>
    <t>火砕流のほぼ全周方向への流下。</t>
    <rPh sb="0" eb="3">
      <t>カサイリュウ</t>
    </rPh>
    <rPh sb="6" eb="8">
      <t>ゼンシュウ</t>
    </rPh>
    <rPh sb="8" eb="10">
      <t>ホウコウ</t>
    </rPh>
    <rPh sb="12" eb="14">
      <t>リュウカ</t>
    </rPh>
    <phoneticPr fontId="2"/>
  </si>
  <si>
    <t>火砕流流下</t>
    <rPh sb="0" eb="3">
      <t>カサイリュウ</t>
    </rPh>
    <rPh sb="3" eb="5">
      <t>リュウカ</t>
    </rPh>
    <phoneticPr fontId="2"/>
  </si>
  <si>
    <t>火砕流流下。Poonbatoの観察者が見た中では最大と証言。</t>
    <rPh sb="0" eb="3">
      <t>カサイリュウ</t>
    </rPh>
    <rPh sb="3" eb="5">
      <t>リュウカ</t>
    </rPh>
    <rPh sb="15" eb="18">
      <t>カンサツシャ</t>
    </rPh>
    <rPh sb="19" eb="20">
      <t>ミ</t>
    </rPh>
    <rPh sb="21" eb="22">
      <t>ナカ</t>
    </rPh>
    <rPh sb="24" eb="26">
      <t>サイダイ</t>
    </rPh>
    <rPh sb="27" eb="29">
      <t>ショウゲン</t>
    </rPh>
    <phoneticPr fontId="2"/>
  </si>
  <si>
    <t>噴煙柱高度12km? 火砕流流下。40分後クラーク空軍基地に灰雨雲として到達。</t>
    <rPh sb="0" eb="5">
      <t>フンエンチュウコウド</t>
    </rPh>
    <rPh sb="11" eb="14">
      <t>カサイリュウ</t>
    </rPh>
    <rPh sb="14" eb="16">
      <t>リュウカ</t>
    </rPh>
    <rPh sb="19" eb="21">
      <t>フンゴ</t>
    </rPh>
    <rPh sb="25" eb="27">
      <t>クウグン</t>
    </rPh>
    <rPh sb="27" eb="29">
      <t>キチ</t>
    </rPh>
    <rPh sb="30" eb="31">
      <t>ハイ</t>
    </rPh>
    <rPh sb="31" eb="32">
      <t>アメ</t>
    </rPh>
    <rPh sb="32" eb="33">
      <t>クモ</t>
    </rPh>
    <rPh sb="36" eb="38">
      <t>トウタツ</t>
    </rPh>
    <phoneticPr fontId="2"/>
  </si>
  <si>
    <t>climax</t>
    <phoneticPr fontId="2"/>
  </si>
  <si>
    <t>ひまわり4号。笠雲頂部34km、縁部24.9km、直径400km</t>
    <rPh sb="5" eb="6">
      <t>ゴウ</t>
    </rPh>
    <rPh sb="7" eb="9">
      <t>カサグモ</t>
    </rPh>
    <rPh sb="9" eb="11">
      <t>チョウブ</t>
    </rPh>
    <rPh sb="16" eb="17">
      <t>エン</t>
    </rPh>
    <rPh sb="17" eb="18">
      <t>ブ</t>
    </rPh>
    <rPh sb="25" eb="27">
      <t>チョッケイ</t>
    </rPh>
    <phoneticPr fontId="2"/>
  </si>
  <si>
    <t>ひまわり4号。成層圏への注入によって発生する「低温の目」は7:00-15:00 UTCまで続いた</t>
    <rPh sb="5" eb="6">
      <t>ゴウ</t>
    </rPh>
    <rPh sb="7" eb="10">
      <t>セイソウケン</t>
    </rPh>
    <rPh sb="12" eb="14">
      <t>チュウニュウ</t>
    </rPh>
    <rPh sb="18" eb="20">
      <t>ハッセイ</t>
    </rPh>
    <rPh sb="23" eb="25">
      <t>テイオン</t>
    </rPh>
    <rPh sb="26" eb="27">
      <t>メ</t>
    </rPh>
    <rPh sb="45" eb="46">
      <t>ツヅ</t>
    </rPh>
    <phoneticPr fontId="2"/>
  </si>
  <si>
    <t>田中ほか (1991)</t>
    <rPh sb="0" eb="2">
      <t>タナカ</t>
    </rPh>
    <phoneticPr fontId="2"/>
  </si>
  <si>
    <t>ひまわり4号。9:00 UTC頃に温度偏差が極大。</t>
    <rPh sb="5" eb="6">
      <t>ゴウ</t>
    </rPh>
    <rPh sb="15" eb="16">
      <t>ゴロ</t>
    </rPh>
    <rPh sb="17" eb="19">
      <t>オンド</t>
    </rPh>
    <rPh sb="19" eb="21">
      <t>ヘンサ</t>
    </rPh>
    <rPh sb="22" eb="24">
      <t>キョクダイ</t>
    </rPh>
    <phoneticPr fontId="2"/>
  </si>
  <si>
    <t>「噴出のエネルギーは、9Z頃に極大であったと考えられる」</t>
    <rPh sb="1" eb="3">
      <t>フンシュツ</t>
    </rPh>
    <rPh sb="13" eb="14">
      <t>コロ</t>
    </rPh>
    <rPh sb="15" eb="17">
      <t>キョクダイ</t>
    </rPh>
    <rPh sb="22" eb="23">
      <t>カンガ</t>
    </rPh>
    <phoneticPr fontId="2"/>
  </si>
  <si>
    <t>Koyaguchi (1996) Fire and Mud</t>
    <phoneticPr fontId="2"/>
  </si>
  <si>
    <t>Wolfe and Hoblitt (1996) Fire and Mud</t>
    <phoneticPr fontId="2"/>
  </si>
  <si>
    <t>微動・気圧変動が減衰に転じる</t>
    <rPh sb="0" eb="2">
      <t>ビドウ</t>
    </rPh>
    <rPh sb="3" eb="5">
      <t>キアツ</t>
    </rPh>
    <rPh sb="5" eb="7">
      <t>ヘンドウ</t>
    </rPh>
    <rPh sb="8" eb="10">
      <t>ゲンスイ</t>
    </rPh>
    <rPh sb="11" eb="12">
      <t>テン</t>
    </rPh>
    <phoneticPr fontId="2"/>
  </si>
  <si>
    <t>クライマックス噴火減衰期</t>
    <rPh sb="7" eb="9">
      <t>フンカ</t>
    </rPh>
    <rPh sb="9" eb="12">
      <t>ゲンスイキ</t>
    </rPh>
    <phoneticPr fontId="2"/>
  </si>
  <si>
    <t>クライマックス噴火の終了</t>
    <rPh sb="7" eb="9">
      <t>フンカ</t>
    </rPh>
    <rPh sb="10" eb="12">
      <t>シュウリョウ</t>
    </rPh>
    <phoneticPr fontId="2"/>
  </si>
  <si>
    <t>火山構造性地震の増加</t>
    <rPh sb="0" eb="2">
      <t>カザン</t>
    </rPh>
    <rPh sb="2" eb="5">
      <t>コウゾウセイ</t>
    </rPh>
    <rPh sb="5" eb="7">
      <t>ジシン</t>
    </rPh>
    <rPh sb="8" eb="10">
      <t>ゾウカ</t>
    </rPh>
    <phoneticPr fontId="2"/>
  </si>
  <si>
    <t>カルデラ陥没この頃開始？</t>
    <rPh sb="4" eb="6">
      <t>カンボツ</t>
    </rPh>
    <rPh sb="8" eb="9">
      <t>コロ</t>
    </rPh>
    <rPh sb="9" eb="11">
      <t>カイシ</t>
    </rPh>
    <phoneticPr fontId="2"/>
  </si>
  <si>
    <t>大気圧変動がバックグラウンドレベルに戻る</t>
    <rPh sb="0" eb="3">
      <t>タイキアツ</t>
    </rPh>
    <rPh sb="3" eb="5">
      <t>ヘンドウ</t>
    </rPh>
    <rPh sb="18" eb="19">
      <t>モド</t>
    </rPh>
    <phoneticPr fontId="2"/>
  </si>
  <si>
    <t>激しい高周波微動と大気圧変動の開始</t>
    <rPh sb="0" eb="1">
      <t>ハゲ</t>
    </rPh>
    <rPh sb="3" eb="6">
      <t>コウシュウハ</t>
    </rPh>
    <rPh sb="6" eb="8">
      <t>ビドウ</t>
    </rPh>
    <rPh sb="9" eb="12">
      <t>タイキアツ</t>
    </rPh>
    <rPh sb="12" eb="14">
      <t>ヘンドウ</t>
    </rPh>
    <rPh sb="15" eb="17">
      <t>カイシ</t>
    </rPh>
    <phoneticPr fontId="2"/>
  </si>
  <si>
    <t>灰噴火が1ヶ月程度継続。噴煙高度は18-20kmに達することも</t>
    <rPh sb="0" eb="3">
      <t>ハイフンカ</t>
    </rPh>
    <rPh sb="6" eb="7">
      <t>ゲツ</t>
    </rPh>
    <rPh sb="7" eb="9">
      <t>テイド</t>
    </rPh>
    <rPh sb="9" eb="11">
      <t>ケイゾク</t>
    </rPh>
    <rPh sb="12" eb="14">
      <t>フンエン</t>
    </rPh>
    <rPh sb="14" eb="16">
      <t>コウド</t>
    </rPh>
    <rPh sb="25" eb="26">
      <t>タッ</t>
    </rPh>
    <phoneticPr fontId="2"/>
  </si>
  <si>
    <t>溶岩ドーム形成</t>
    <rPh sb="0" eb="2">
      <t>ヨウガン</t>
    </rPh>
    <rPh sb="5" eb="7">
      <t>ケイセイ</t>
    </rPh>
    <phoneticPr fontId="2"/>
  </si>
  <si>
    <t>start</t>
    <phoneticPr fontId="2"/>
  </si>
  <si>
    <t>8/19-22 噴火停止していたらしい</t>
    <rPh sb="8" eb="10">
      <t>フンカ</t>
    </rPh>
    <rPh sb="10" eb="12">
      <t>テイシ</t>
    </rPh>
    <phoneticPr fontId="2"/>
  </si>
  <si>
    <t>Smithsonian GVP Eruptive History</t>
    <phoneticPr fontId="2"/>
  </si>
  <si>
    <t>地熱地帯で規模の大きな地滑り</t>
    <rPh sb="0" eb="2">
      <t>チネツ</t>
    </rPh>
    <rPh sb="2" eb="4">
      <t>チタイ</t>
    </rPh>
    <rPh sb="5" eb="7">
      <t>キボ</t>
    </rPh>
    <rPh sb="8" eb="9">
      <t>オオ</t>
    </rPh>
    <rPh sb="11" eb="13">
      <t>ジスベ</t>
    </rPh>
    <phoneticPr fontId="2"/>
  </si>
  <si>
    <t>Alaska Volcano Observatory Volcano Information</t>
    <phoneticPr fontId="2"/>
  </si>
  <si>
    <t>Burr Point debris-avalanche?</t>
    <phoneticPr fontId="2"/>
  </si>
  <si>
    <t>黒色噴煙3-9 kmが目撃される。</t>
    <rPh sb="0" eb="4">
      <t>コクショクフンエン</t>
    </rPh>
    <rPh sb="11" eb="13">
      <t>モクゲキ</t>
    </rPh>
    <phoneticPr fontId="2"/>
  </si>
  <si>
    <t>1885, 1893, 1895, 1902, 1908に噴火の疑いイベント。1883噴火以降の噴気の可能性もあり。</t>
    <rPh sb="29" eb="31">
      <t>フンカ</t>
    </rPh>
    <rPh sb="32" eb="33">
      <t>ウタガ</t>
    </rPh>
    <rPh sb="43" eb="45">
      <t>フンカ</t>
    </rPh>
    <rPh sb="45" eb="47">
      <t>イコウ</t>
    </rPh>
    <rPh sb="48" eb="50">
      <t>フンキ</t>
    </rPh>
    <rPh sb="51" eb="54">
      <t>カノウセイ</t>
    </rPh>
    <phoneticPr fontId="2"/>
  </si>
  <si>
    <t>溶岩ドーム形成</t>
    <rPh sb="0" eb="2">
      <t>ヨウガン</t>
    </rPh>
    <rPh sb="5" eb="7">
      <t>ケイセイ</t>
    </rPh>
    <phoneticPr fontId="2"/>
  </si>
  <si>
    <t>間欠的な噴火。火砕流目撃。</t>
    <rPh sb="0" eb="3">
      <t>カンケツテキ</t>
    </rPh>
    <rPh sb="4" eb="6">
      <t>フンカ</t>
    </rPh>
    <rPh sb="7" eb="10">
      <t>カサイリュウ</t>
    </rPh>
    <rPh sb="10" eb="12">
      <t>モクゲキ</t>
    </rPh>
    <phoneticPr fontId="2"/>
  </si>
  <si>
    <t>地震活動の緩やかな高まり</t>
    <rPh sb="0" eb="4">
      <t>ジシンカツドウ</t>
    </rPh>
    <rPh sb="5" eb="6">
      <t>ユル</t>
    </rPh>
    <rPh sb="9" eb="10">
      <t>タカ</t>
    </rPh>
    <phoneticPr fontId="2"/>
  </si>
  <si>
    <t>地震活動の急激な高まり</t>
    <rPh sb="0" eb="4">
      <t>ジシンカツドウ</t>
    </rPh>
    <rPh sb="5" eb="7">
      <t>キュウゲキ</t>
    </rPh>
    <rPh sb="8" eb="9">
      <t>タカ</t>
    </rPh>
    <phoneticPr fontId="2"/>
  </si>
  <si>
    <t>地震活動の緩やかな高まり。測地的な膨張。</t>
    <rPh sb="0" eb="4">
      <t>ジシンカツドウ</t>
    </rPh>
    <rPh sb="5" eb="6">
      <t>ユル</t>
    </rPh>
    <rPh sb="9" eb="10">
      <t>タカ</t>
    </rPh>
    <rPh sb="13" eb="15">
      <t>ソクチ</t>
    </rPh>
    <rPh sb="15" eb="16">
      <t>テキ</t>
    </rPh>
    <rPh sb="17" eb="19">
      <t>ボウチョウ</t>
    </rPh>
    <phoneticPr fontId="2"/>
  </si>
  <si>
    <t>間欠的な水蒸気爆発</t>
    <rPh sb="0" eb="3">
      <t>カンケツテキ</t>
    </rPh>
    <rPh sb="4" eb="9">
      <t>スイジョウキバクハツ</t>
    </rPh>
    <phoneticPr fontId="2"/>
  </si>
  <si>
    <t>間欠的なマグマ噴火 軽石質の火砕流を噴出するものも。</t>
    <rPh sb="0" eb="3">
      <t>カンケツテキ</t>
    </rPh>
    <rPh sb="7" eb="9">
      <t>フンカ</t>
    </rPh>
    <rPh sb="10" eb="12">
      <t>カルイシ</t>
    </rPh>
    <rPh sb="12" eb="13">
      <t>シツ</t>
    </rPh>
    <rPh sb="14" eb="17">
      <t>カサイリュウ</t>
    </rPh>
    <rPh sb="18" eb="20">
      <t>フンシュツ</t>
    </rPh>
    <phoneticPr fontId="2"/>
  </si>
  <si>
    <t>溶岩ドームの形成</t>
    <rPh sb="0" eb="2">
      <t>ヨウガン</t>
    </rPh>
    <rPh sb="6" eb="8">
      <t>ケイセイ</t>
    </rPh>
    <phoneticPr fontId="2"/>
  </si>
  <si>
    <t>激しい火山構造性地震の群発</t>
    <rPh sb="0" eb="1">
      <t>ハゲ</t>
    </rPh>
    <rPh sb="3" eb="10">
      <t>カザンコウゾウセイジシン</t>
    </rPh>
    <rPh sb="11" eb="13">
      <t>グンパツ</t>
    </rPh>
    <phoneticPr fontId="2"/>
  </si>
  <si>
    <t>激しい噴気が目撃される</t>
    <rPh sb="0" eb="1">
      <t>ハゲ</t>
    </rPh>
    <rPh sb="3" eb="5">
      <t>フンキ</t>
    </rPh>
    <rPh sb="6" eb="8">
      <t>モクゲキ</t>
    </rPh>
    <phoneticPr fontId="2"/>
  </si>
  <si>
    <t>火山性微動。38km離れた漁船が山頂の赤熱と降灰を目撃。</t>
    <rPh sb="0" eb="3">
      <t>カザンセイ</t>
    </rPh>
    <rPh sb="3" eb="5">
      <t>ビドウ</t>
    </rPh>
    <rPh sb="10" eb="11">
      <t>ハナ</t>
    </rPh>
    <rPh sb="13" eb="15">
      <t>ギョセン</t>
    </rPh>
    <rPh sb="16" eb="18">
      <t>サンチョウ</t>
    </rPh>
    <rPh sb="19" eb="21">
      <t>セキネツ</t>
    </rPh>
    <rPh sb="22" eb="24">
      <t>コウハイ</t>
    </rPh>
    <rPh sb="25" eb="27">
      <t>モクゲキ</t>
    </rPh>
    <phoneticPr fontId="2"/>
  </si>
  <si>
    <t>群発地震活動</t>
    <rPh sb="0" eb="2">
      <t>グンパツ</t>
    </rPh>
    <rPh sb="2" eb="4">
      <t>ジシン</t>
    </rPh>
    <rPh sb="4" eb="6">
      <t>カツドウ</t>
    </rPh>
    <phoneticPr fontId="2"/>
  </si>
  <si>
    <t>群発地震活動</t>
    <rPh sb="0" eb="6">
      <t>グンパツジシンカツドウ</t>
    </rPh>
    <phoneticPr fontId="2"/>
  </si>
  <si>
    <t>地震活動のゆるやかな高まり</t>
    <rPh sb="0" eb="2">
      <t>ジシン</t>
    </rPh>
    <rPh sb="2" eb="4">
      <t>カツドウ</t>
    </rPh>
    <rPh sb="10" eb="11">
      <t>タカ</t>
    </rPh>
    <phoneticPr fontId="2"/>
  </si>
  <si>
    <t>活発な噴気活動が観察される</t>
    <rPh sb="0" eb="2">
      <t>カッパツ</t>
    </rPh>
    <rPh sb="3" eb="5">
      <t>フンキ</t>
    </rPh>
    <rPh sb="5" eb="7">
      <t>カツドウ</t>
    </rPh>
    <rPh sb="8" eb="10">
      <t>カンサツ</t>
    </rPh>
    <phoneticPr fontId="2"/>
  </si>
  <si>
    <t>短い微動</t>
    <rPh sb="0" eb="1">
      <t>ミジカ</t>
    </rPh>
    <rPh sb="2" eb="4">
      <t>ビドウ</t>
    </rPh>
    <phoneticPr fontId="2"/>
  </si>
  <si>
    <t>インフラサウンド</t>
    <phoneticPr fontId="2"/>
  </si>
  <si>
    <t>レーダーが噴煙柱高度14 kmを観測</t>
    <rPh sb="5" eb="8">
      <t>フンエンチュウ</t>
    </rPh>
    <rPh sb="8" eb="10">
      <t>コウド</t>
    </rPh>
    <rPh sb="16" eb="18">
      <t>カンソク</t>
    </rPh>
    <phoneticPr fontId="2"/>
  </si>
  <si>
    <t>顕著な地震活動</t>
    <rPh sb="0" eb="2">
      <t>ケンチョ</t>
    </rPh>
    <rPh sb="3" eb="5">
      <t>ジシン</t>
    </rPh>
    <rPh sb="5" eb="7">
      <t>カツドウ</t>
    </rPh>
    <phoneticPr fontId="2"/>
  </si>
  <si>
    <t>噴気活動の高まり? が目撃される</t>
    <rPh sb="0" eb="2">
      <t>フンキ</t>
    </rPh>
    <rPh sb="2" eb="4">
      <t>カツドウ</t>
    </rPh>
    <rPh sb="5" eb="6">
      <t>タカ</t>
    </rPh>
    <rPh sb="11" eb="13">
      <t>モクゲキ</t>
    </rPh>
    <phoneticPr fontId="2"/>
  </si>
  <si>
    <t>噴気活動の高まり</t>
    <rPh sb="0" eb="2">
      <t>フンキ</t>
    </rPh>
    <rPh sb="2" eb="4">
      <t>カツドウ</t>
    </rPh>
    <rPh sb="5" eb="6">
      <t>タカ</t>
    </rPh>
    <phoneticPr fontId="2"/>
  </si>
  <si>
    <t>レーダーが噴煙高度11kmを観測</t>
    <rPh sb="5" eb="7">
      <t>フンエン</t>
    </rPh>
    <rPh sb="7" eb="9">
      <t>コウド</t>
    </rPh>
    <rPh sb="14" eb="16">
      <t>カンソク</t>
    </rPh>
    <phoneticPr fontId="2"/>
  </si>
  <si>
    <t>かなとこ状(anvil-shaped)の噴煙が撮影される</t>
    <rPh sb="4" eb="5">
      <t>ジョウ</t>
    </rPh>
    <rPh sb="20" eb="22">
      <t>フンエン</t>
    </rPh>
    <rPh sb="23" eb="25">
      <t>サツエイ</t>
    </rPh>
    <phoneticPr fontId="2"/>
  </si>
  <si>
    <t>最も長いインフラサウンド。もっとも長い微動の一つ。噴煙高度&gt;8km。</t>
    <rPh sb="0" eb="1">
      <t>モット</t>
    </rPh>
    <rPh sb="2" eb="3">
      <t>ナガ</t>
    </rPh>
    <rPh sb="17" eb="18">
      <t>ナガ</t>
    </rPh>
    <rPh sb="19" eb="21">
      <t>ビドウ</t>
    </rPh>
    <rPh sb="22" eb="23">
      <t>ヒト</t>
    </rPh>
    <rPh sb="25" eb="27">
      <t>フンエン</t>
    </rPh>
    <rPh sb="27" eb="29">
      <t>コウド</t>
    </rPh>
    <phoneticPr fontId="2"/>
  </si>
  <si>
    <t>微動、続いてインフラサウンド。以降間欠的に繰り返し。</t>
    <rPh sb="0" eb="2">
      <t>ビドウ</t>
    </rPh>
    <rPh sb="3" eb="4">
      <t>ツヅ</t>
    </rPh>
    <rPh sb="15" eb="17">
      <t>イコウ</t>
    </rPh>
    <rPh sb="17" eb="20">
      <t>カンケツテキ</t>
    </rPh>
    <rPh sb="21" eb="22">
      <t>ク</t>
    </rPh>
    <rPh sb="23" eb="24">
      <t>カエ</t>
    </rPh>
    <phoneticPr fontId="2"/>
  </si>
  <si>
    <t>レーダー噴煙&gt;4km、インフラサウンド、微動</t>
    <rPh sb="4" eb="6">
      <t>フンエン</t>
    </rPh>
    <rPh sb="20" eb="22">
      <t>ビドウ</t>
    </rPh>
    <phoneticPr fontId="2"/>
  </si>
  <si>
    <t>長いインフラサウンドと微動。</t>
    <rPh sb="0" eb="1">
      <t>ナガ</t>
    </rPh>
    <rPh sb="11" eb="13">
      <t>ビドウ</t>
    </rPh>
    <phoneticPr fontId="2"/>
  </si>
  <si>
    <t>不明。貨物機が飛行高度10kmで噴煙に突っ込み損傷。</t>
    <rPh sb="0" eb="2">
      <t>フメイ</t>
    </rPh>
    <rPh sb="3" eb="6">
      <t>カモツキ</t>
    </rPh>
    <rPh sb="7" eb="9">
      <t>ヒコウ</t>
    </rPh>
    <rPh sb="9" eb="11">
      <t>コウド</t>
    </rPh>
    <rPh sb="16" eb="18">
      <t>フンエン</t>
    </rPh>
    <rPh sb="19" eb="20">
      <t>ツ</t>
    </rPh>
    <rPh sb="21" eb="22">
      <t>コ</t>
    </rPh>
    <rPh sb="23" eb="25">
      <t>ソンショウ</t>
    </rPh>
    <phoneticPr fontId="2"/>
  </si>
  <si>
    <t>噴煙高度12km? 飛行機パイロットによる</t>
    <rPh sb="0" eb="2">
      <t>フンエン</t>
    </rPh>
    <rPh sb="2" eb="4">
      <t>コウド</t>
    </rPh>
    <rPh sb="10" eb="13">
      <t>ヒコウキ</t>
    </rPh>
    <phoneticPr fontId="2"/>
  </si>
  <si>
    <t>噴煙12km? インフラサウンド</t>
    <rPh sb="0" eb="2">
      <t>フンエン</t>
    </rPh>
    <phoneticPr fontId="2"/>
  </si>
  <si>
    <t>1976溶岩ドームが目撃される</t>
    <rPh sb="4" eb="6">
      <t>ヨウガン</t>
    </rPh>
    <rPh sb="10" eb="12">
      <t>モクゲキ</t>
    </rPh>
    <phoneticPr fontId="2"/>
  </si>
  <si>
    <t xml:space="preserve">溶岩ドームの成長? </t>
  </si>
  <si>
    <t>Power and Lalla (2010)</t>
    <phoneticPr fontId="2"/>
  </si>
  <si>
    <t>Kienle and Shaw (1979)</t>
    <phoneticPr fontId="2"/>
  </si>
  <si>
    <t>微動と浅い地震活動の再開。Block and Ash Flowのシグナル。</t>
    <rPh sb="0" eb="2">
      <t>ビドウ</t>
    </rPh>
    <rPh sb="3" eb="4">
      <t>アサ</t>
    </rPh>
    <rPh sb="5" eb="7">
      <t>ジシン</t>
    </rPh>
    <rPh sb="7" eb="9">
      <t>カツドウ</t>
    </rPh>
    <rPh sb="10" eb="12">
      <t>サイカイ</t>
    </rPh>
    <phoneticPr fontId="2"/>
  </si>
  <si>
    <t>1986溶岩の最初の噴出フェーズ</t>
    <rPh sb="4" eb="6">
      <t>ヨウガン</t>
    </rPh>
    <rPh sb="10" eb="12">
      <t>フンシュツ</t>
    </rPh>
    <phoneticPr fontId="2"/>
  </si>
  <si>
    <t>1986溶岩の2回目の噴出フェーズ</t>
    <rPh sb="4" eb="6">
      <t>ヨウガン</t>
    </rPh>
    <rPh sb="8" eb="10">
      <t>カイメ</t>
    </rPh>
    <rPh sb="11" eb="13">
      <t>フンシュツ</t>
    </rPh>
    <phoneticPr fontId="2"/>
  </si>
  <si>
    <t>間欠的な爆発</t>
    <rPh sb="0" eb="3">
      <t>カンケツテキ</t>
    </rPh>
    <rPh sb="4" eb="6">
      <t>バクハツ</t>
    </rPh>
    <phoneticPr fontId="2"/>
  </si>
  <si>
    <t>噴煙柱高度12 km以上</t>
    <rPh sb="0" eb="5">
      <t>フンエンバシラコウド</t>
    </rPh>
    <rPh sb="10" eb="12">
      <t>イジョウ</t>
    </rPh>
    <phoneticPr fontId="2"/>
  </si>
  <si>
    <t>7-10mの津波、火山雷と降灰。後に1883溶岩ドーム形成?</t>
    <rPh sb="6" eb="8">
      <t>ツナミ</t>
    </rPh>
    <rPh sb="9" eb="11">
      <t>カザン</t>
    </rPh>
    <rPh sb="11" eb="12">
      <t>ライ</t>
    </rPh>
    <rPh sb="13" eb="15">
      <t>コウハイ</t>
    </rPh>
    <rPh sb="16" eb="17">
      <t>ノチ</t>
    </rPh>
    <rPh sb="22" eb="24">
      <t>ヨウガン</t>
    </rPh>
    <rPh sb="27" eb="29">
      <t>ケイセイ</t>
    </rPh>
    <phoneticPr fontId="2"/>
  </si>
  <si>
    <t>1883溶岩ドームの破壊。1935溶岩ドーム2つの形成</t>
    <rPh sb="4" eb="6">
      <t>ヨウガン</t>
    </rPh>
    <rPh sb="10" eb="12">
      <t>ハカイ</t>
    </rPh>
    <rPh sb="17" eb="19">
      <t>ヨウガン</t>
    </rPh>
    <rPh sb="25" eb="27">
      <t>ケイセイ</t>
    </rPh>
    <phoneticPr fontId="2"/>
  </si>
  <si>
    <t>噴火の再開</t>
    <rPh sb="0" eb="2">
      <t>フンカ</t>
    </rPh>
    <rPh sb="3" eb="5">
      <t>サイカイ</t>
    </rPh>
    <phoneticPr fontId="2"/>
  </si>
  <si>
    <t>start</t>
    <phoneticPr fontId="2"/>
  </si>
  <si>
    <t>climax</t>
    <phoneticPr fontId="2"/>
  </si>
  <si>
    <t>再開した噴火のピーク</t>
    <rPh sb="0" eb="2">
      <t>サイカイ</t>
    </rPh>
    <rPh sb="4" eb="6">
      <t>フンカ</t>
    </rPh>
    <phoneticPr fontId="2"/>
  </si>
  <si>
    <t>詳細不明</t>
    <rPh sb="0" eb="2">
      <t>ショウサイ</t>
    </rPh>
    <rPh sb="2" eb="4">
      <t>フメイ</t>
    </rPh>
    <phoneticPr fontId="2"/>
  </si>
  <si>
    <t>Local (UTC-10)</t>
    <phoneticPr fontId="2"/>
  </si>
  <si>
    <t>Kamata et al. (1991)はこれが軽石層Pを噴出した噴火で、以降2月まで休止期に入ったとしている</t>
    <rPh sb="24" eb="26">
      <t>カルイシ</t>
    </rPh>
    <rPh sb="26" eb="27">
      <t>ソウ</t>
    </rPh>
    <rPh sb="29" eb="31">
      <t>フンシュツ</t>
    </rPh>
    <rPh sb="33" eb="35">
      <t>フンカ</t>
    </rPh>
    <rPh sb="37" eb="39">
      <t>イコウ</t>
    </rPh>
    <rPh sb="40" eb="41">
      <t>ガツ</t>
    </rPh>
    <rPh sb="43" eb="46">
      <t>キュウシキ</t>
    </rPh>
    <rPh sb="47" eb="48">
      <t>ハイ</t>
    </rPh>
    <phoneticPr fontId="2"/>
  </si>
  <si>
    <t>異常なし</t>
    <rPh sb="0" eb="2">
      <t>イジョウ</t>
    </rPh>
    <phoneticPr fontId="2"/>
  </si>
  <si>
    <t>スンダ海峡付近を震源として?大きな地震。オーストラリアで有感。</t>
    <rPh sb="3" eb="5">
      <t>カイキョウ</t>
    </rPh>
    <rPh sb="5" eb="7">
      <t>フキン</t>
    </rPh>
    <rPh sb="8" eb="10">
      <t>シンゲン</t>
    </rPh>
    <rPh sb="14" eb="15">
      <t>オオ</t>
    </rPh>
    <rPh sb="17" eb="19">
      <t>ジシン</t>
    </rPh>
    <rPh sb="28" eb="30">
      <t>ユウカン</t>
    </rPh>
    <phoneticPr fontId="2"/>
  </si>
  <si>
    <t>複数の有感地震＠ジャワ島 First Point</t>
    <rPh sb="0" eb="2">
      <t>フクスウ</t>
    </rPh>
    <rPh sb="3" eb="5">
      <t>ユウカン</t>
    </rPh>
    <rPh sb="5" eb="7">
      <t>ジシン</t>
    </rPh>
    <rPh sb="11" eb="12">
      <t>トウ</t>
    </rPh>
    <phoneticPr fontId="2"/>
  </si>
  <si>
    <t>複数の有感地震＠Ketimbang 40km NNE</t>
    <rPh sb="0" eb="2">
      <t>フクスウ</t>
    </rPh>
    <rPh sb="3" eb="5">
      <t>ユウカン</t>
    </rPh>
    <rPh sb="5" eb="7">
      <t>ジシン</t>
    </rPh>
    <phoneticPr fontId="2"/>
  </si>
  <si>
    <t>有感地震＠Anjer 55 km E</t>
    <rPh sb="0" eb="2">
      <t>ユウカン</t>
    </rPh>
    <rPh sb="2" eb="4">
      <t>ジシン</t>
    </rPh>
    <phoneticPr fontId="2"/>
  </si>
  <si>
    <t>噴火規模不明。地震・雷鳴・硫黄の匂い・漂流軽石。2月にも噴火目撃。1880にVerbeekが見た「若い」溶岩もこのときのものか。</t>
    <rPh sb="0" eb="2">
      <t>フンカ</t>
    </rPh>
    <rPh sb="2" eb="4">
      <t>キボ</t>
    </rPh>
    <rPh sb="4" eb="6">
      <t>フメイ</t>
    </rPh>
    <rPh sb="7" eb="9">
      <t>ジシン</t>
    </rPh>
    <rPh sb="10" eb="12">
      <t>ライメイ</t>
    </rPh>
    <rPh sb="13" eb="15">
      <t>イオウ</t>
    </rPh>
    <rPh sb="16" eb="17">
      <t>ニオ</t>
    </rPh>
    <rPh sb="19" eb="21">
      <t>ヒョウリュウ</t>
    </rPh>
    <rPh sb="21" eb="23">
      <t>カルイシ</t>
    </rPh>
    <rPh sb="25" eb="26">
      <t>ガツ</t>
    </rPh>
    <rPh sb="28" eb="30">
      <t>フンカ</t>
    </rPh>
    <rPh sb="30" eb="32">
      <t>モクゲキ</t>
    </rPh>
    <rPh sb="46" eb="47">
      <t>ミ</t>
    </rPh>
    <rPh sb="49" eb="50">
      <t>ワカ</t>
    </rPh>
    <rPh sb="52" eb="54">
      <t>ヨウガン</t>
    </rPh>
    <phoneticPr fontId="2"/>
  </si>
  <si>
    <t>通りすがりの船が煙と湯気を目撃。ただしAnjerの住民は雲と解釈。</t>
    <rPh sb="0" eb="1">
      <t>トオ</t>
    </rPh>
    <rPh sb="6" eb="7">
      <t>フネ</t>
    </rPh>
    <rPh sb="8" eb="9">
      <t>ケムリ</t>
    </rPh>
    <rPh sb="10" eb="12">
      <t>ユゲ</t>
    </rPh>
    <rPh sb="13" eb="15">
      <t>モクゲキ</t>
    </rPh>
    <rPh sb="25" eb="27">
      <t>ジュウミン</t>
    </rPh>
    <rPh sb="28" eb="29">
      <t>クモ</t>
    </rPh>
    <rPh sb="30" eb="32">
      <t>カイシャク</t>
    </rPh>
    <phoneticPr fontId="2"/>
  </si>
  <si>
    <t>30分で高度11kmに達する噴煙。広く聞こえる爆発音。翌日以降海面上に軽石が目撃。27日の上陸調査で島内に1ftの軽石。</t>
    <rPh sb="17" eb="18">
      <t>ヒロ</t>
    </rPh>
    <rPh sb="19" eb="20">
      <t>キ</t>
    </rPh>
    <rPh sb="27" eb="29">
      <t>ヨクジツ</t>
    </rPh>
    <rPh sb="29" eb="31">
      <t>イコウ</t>
    </rPh>
    <rPh sb="31" eb="34">
      <t>カイメンジョウ</t>
    </rPh>
    <rPh sb="35" eb="37">
      <t>カルイシ</t>
    </rPh>
    <rPh sb="38" eb="40">
      <t>モクゲキ</t>
    </rPh>
    <rPh sb="43" eb="44">
      <t>ニチ</t>
    </rPh>
    <rPh sb="45" eb="47">
      <t>ジョウリク</t>
    </rPh>
    <rPh sb="47" eb="49">
      <t>チョウサ</t>
    </rPh>
    <rPh sb="50" eb="52">
      <t>トウナイ</t>
    </rPh>
    <rPh sb="57" eb="59">
      <t>カルイシ</t>
    </rPh>
    <phoneticPr fontId="2"/>
  </si>
  <si>
    <t>Perbuwatanから噴火。Anjer(55km E)で地震と激しい降灰。23日頃まで降灰報告多数。</t>
    <rPh sb="12" eb="14">
      <t>フンカ</t>
    </rPh>
    <rPh sb="29" eb="31">
      <t>ジシン</t>
    </rPh>
    <rPh sb="32" eb="33">
      <t>ハゲ</t>
    </rPh>
    <rPh sb="35" eb="37">
      <t>コウハイ</t>
    </rPh>
    <rPh sb="40" eb="42">
      <t>ニチゴロ</t>
    </rPh>
    <rPh sb="44" eb="46">
      <t>コウハイ</t>
    </rPh>
    <rPh sb="46" eb="48">
      <t>ホウコク</t>
    </rPh>
    <rPh sb="48" eb="50">
      <t>タスウ</t>
    </rPh>
    <phoneticPr fontId="2"/>
  </si>
  <si>
    <t>SchuurmanらがKrakatauに到着。Perbuwatanで5-10分沖の爆発を観察。島北部は樹木に葉がなく、岸辺では1ftの軽石を2ftの火山灰が覆っていた。</t>
    <rPh sb="20" eb="22">
      <t>トウチャク</t>
    </rPh>
    <rPh sb="38" eb="39">
      <t>フン</t>
    </rPh>
    <rPh sb="39" eb="40">
      <t>オキ</t>
    </rPh>
    <rPh sb="41" eb="43">
      <t>バクハツ</t>
    </rPh>
    <rPh sb="44" eb="46">
      <t>カンサツ</t>
    </rPh>
    <rPh sb="47" eb="48">
      <t>シマ</t>
    </rPh>
    <rPh sb="48" eb="50">
      <t>ホクブ</t>
    </rPh>
    <rPh sb="51" eb="53">
      <t>ジュモク</t>
    </rPh>
    <rPh sb="54" eb="55">
      <t>ハ</t>
    </rPh>
    <rPh sb="59" eb="61">
      <t>キシベ</t>
    </rPh>
    <rPh sb="67" eb="69">
      <t>カルイシ</t>
    </rPh>
    <rPh sb="74" eb="77">
      <t>カザンバイ</t>
    </rPh>
    <rPh sb="78" eb="79">
      <t>オオ</t>
    </rPh>
    <phoneticPr fontId="2"/>
  </si>
  <si>
    <t>蒸気の柱が2つに増える。大きいものが北。Perbuwatanの山頂が消滅しているとの報告。</t>
    <rPh sb="0" eb="2">
      <t>ジョウキ</t>
    </rPh>
    <rPh sb="3" eb="4">
      <t>ハシラ</t>
    </rPh>
    <rPh sb="8" eb="9">
      <t>フ</t>
    </rPh>
    <rPh sb="12" eb="13">
      <t>オオ</t>
    </rPh>
    <rPh sb="18" eb="19">
      <t>キタ</t>
    </rPh>
    <rPh sb="31" eb="33">
      <t>サンチョウ</t>
    </rPh>
    <rPh sb="34" eb="36">
      <t>ショウメツ</t>
    </rPh>
    <rPh sb="42" eb="44">
      <t>ホウコク</t>
    </rPh>
    <phoneticPr fontId="2"/>
  </si>
  <si>
    <t>複数の広く有感の地震。</t>
    <rPh sb="0" eb="2">
      <t>フクスウ</t>
    </rPh>
    <rPh sb="3" eb="4">
      <t>ヒロ</t>
    </rPh>
    <rPh sb="5" eb="7">
      <t>ユウカン</t>
    </rPh>
    <rPh sb="8" eb="10">
      <t>ジシン</t>
    </rPh>
    <phoneticPr fontId="2"/>
  </si>
  <si>
    <t>間欠的に爆発を繰り返す。弱めの降灰と爆発音。地震も散発的に継続。</t>
    <rPh sb="0" eb="3">
      <t>カンケツテキ</t>
    </rPh>
    <rPh sb="4" eb="6">
      <t>バクハツ</t>
    </rPh>
    <rPh sb="7" eb="8">
      <t>ク</t>
    </rPh>
    <rPh sb="9" eb="10">
      <t>カエ</t>
    </rPh>
    <rPh sb="12" eb="13">
      <t>ヨワ</t>
    </rPh>
    <rPh sb="15" eb="17">
      <t>コウハイ</t>
    </rPh>
    <rPh sb="18" eb="21">
      <t>バクハツオン</t>
    </rPh>
    <rPh sb="22" eb="24">
      <t>ジシン</t>
    </rPh>
    <rPh sb="25" eb="28">
      <t>サンパツテキ</t>
    </rPh>
    <rPh sb="29" eb="31">
      <t>ケイゾク</t>
    </rPh>
    <phoneticPr fontId="2"/>
  </si>
  <si>
    <t>Simkin &amp; Fiske (1986)</t>
    <phoneticPr fontId="2"/>
  </si>
  <si>
    <t>スンダ海峡を西に通過する船が、3日間1380kmにわたって漂流軽石の中を航行。以降再び1ヶ月程度漂流軽石の報告複数。</t>
    <rPh sb="3" eb="5">
      <t>カイキョウ</t>
    </rPh>
    <rPh sb="6" eb="7">
      <t>ニシ</t>
    </rPh>
    <rPh sb="8" eb="10">
      <t>ツウカ</t>
    </rPh>
    <rPh sb="12" eb="13">
      <t>フネ</t>
    </rPh>
    <rPh sb="16" eb="18">
      <t>ニチカン</t>
    </rPh>
    <rPh sb="29" eb="33">
      <t>ヒョウリュウカルイシ</t>
    </rPh>
    <rPh sb="34" eb="35">
      <t>ナカ</t>
    </rPh>
    <rPh sb="36" eb="38">
      <t>コウコウ</t>
    </rPh>
    <rPh sb="39" eb="41">
      <t>イコウ</t>
    </rPh>
    <rPh sb="41" eb="42">
      <t>フタタ</t>
    </rPh>
    <rPh sb="45" eb="46">
      <t>ゲツ</t>
    </rPh>
    <rPh sb="46" eb="48">
      <t>テイド</t>
    </rPh>
    <rPh sb="48" eb="52">
      <t>ヒョウリュウカルイシ</t>
    </rPh>
    <rPh sb="53" eb="55">
      <t>ホウコク</t>
    </rPh>
    <rPh sb="55" eb="57">
      <t>フクスウ</t>
    </rPh>
    <phoneticPr fontId="2"/>
  </si>
  <si>
    <t>FerzenaarがKrakatauを調査。Dananから3つめの蒸気が立ち上っており、その他に11カ所もの噴気孔を目撃。植生は完全に破壊されていた。灰は岸辺で0.5mの厚さでマントルしていた。</t>
    <rPh sb="19" eb="21">
      <t>チョウサ</t>
    </rPh>
    <rPh sb="33" eb="35">
      <t>ジョウキ</t>
    </rPh>
    <rPh sb="36" eb="37">
      <t>タ</t>
    </rPh>
    <rPh sb="38" eb="39">
      <t>ノボ</t>
    </rPh>
    <rPh sb="46" eb="47">
      <t>ホカ</t>
    </rPh>
    <rPh sb="51" eb="52">
      <t>ショ</t>
    </rPh>
    <rPh sb="54" eb="57">
      <t>フンキコウ</t>
    </rPh>
    <rPh sb="58" eb="60">
      <t>モクゲキ</t>
    </rPh>
    <rPh sb="61" eb="63">
      <t>ショクセイ</t>
    </rPh>
    <rPh sb="64" eb="66">
      <t>カンゼン</t>
    </rPh>
    <rPh sb="67" eb="69">
      <t>ハカイ</t>
    </rPh>
    <rPh sb="75" eb="76">
      <t>ハイ</t>
    </rPh>
    <rPh sb="77" eb="79">
      <t>キシベ</t>
    </rPh>
    <rPh sb="85" eb="86">
      <t>アツ</t>
    </rPh>
    <phoneticPr fontId="2"/>
  </si>
  <si>
    <t>噴煙高度3400m。島北岸で、海水準の数m高いところで新しい?火口が目撃される</t>
    <rPh sb="0" eb="2">
      <t>フンエン</t>
    </rPh>
    <rPh sb="2" eb="4">
      <t>コウド</t>
    </rPh>
    <rPh sb="10" eb="11">
      <t>シマ</t>
    </rPh>
    <rPh sb="11" eb="13">
      <t>ホクガン</t>
    </rPh>
    <rPh sb="15" eb="16">
      <t>ウミ</t>
    </rPh>
    <rPh sb="16" eb="18">
      <t>スイジュン</t>
    </rPh>
    <rPh sb="19" eb="20">
      <t>スウ</t>
    </rPh>
    <rPh sb="21" eb="22">
      <t>タカ</t>
    </rPh>
    <rPh sb="27" eb="28">
      <t>アタラ</t>
    </rPh>
    <rPh sb="31" eb="33">
      <t>カコウ</t>
    </rPh>
    <rPh sb="34" eb="36">
      <t>モクゲキ</t>
    </rPh>
    <phoneticPr fontId="2"/>
  </si>
  <si>
    <t>夜間、噴煙柱と鮮やかな雷が船から目撃される。翌日午前にかけて、複数の船が激しい砂と灰の降下に見舞われる。火口から上がる厚い噴煙柱が目撃される。</t>
    <rPh sb="0" eb="2">
      <t>ヤカン</t>
    </rPh>
    <rPh sb="3" eb="6">
      <t>フンエンチュウ</t>
    </rPh>
    <rPh sb="7" eb="8">
      <t>アザ</t>
    </rPh>
    <rPh sb="11" eb="12">
      <t>カミナリ</t>
    </rPh>
    <rPh sb="13" eb="14">
      <t>フネ</t>
    </rPh>
    <rPh sb="16" eb="18">
      <t>モクゲキ</t>
    </rPh>
    <rPh sb="22" eb="24">
      <t>ヨクジツ</t>
    </rPh>
    <phoneticPr fontId="2"/>
  </si>
  <si>
    <t>灰と軽石がTelok Betong (80 km NNW)に降った</t>
    <rPh sb="0" eb="1">
      <t>ハイ</t>
    </rPh>
    <rPh sb="2" eb="4">
      <t>カルイシ</t>
    </rPh>
    <rPh sb="30" eb="31">
      <t>フ</t>
    </rPh>
    <phoneticPr fontId="2"/>
  </si>
  <si>
    <t>Bataviaで15時まで非常に細粒の降灰</t>
    <rPh sb="10" eb="11">
      <t>ジ</t>
    </rPh>
    <rPh sb="13" eb="15">
      <t>ヒジョウ</t>
    </rPh>
    <rPh sb="16" eb="18">
      <t>サイリュウ</t>
    </rPh>
    <rPh sb="19" eb="21">
      <t>コウハイ</t>
    </rPh>
    <phoneticPr fontId="2"/>
  </si>
  <si>
    <t>122 km E-Nを航行中の船が高度26kmの黒色噴煙柱を観測。</t>
    <rPh sb="11" eb="14">
      <t>コウコウチュウ</t>
    </rPh>
    <rPh sb="15" eb="16">
      <t>フネ</t>
    </rPh>
    <rPh sb="17" eb="19">
      <t>コウド</t>
    </rPh>
    <rPh sb="24" eb="26">
      <t>コクショク</t>
    </rPh>
    <rPh sb="26" eb="28">
      <t>フンエン</t>
    </rPh>
    <rPh sb="28" eb="29">
      <t>チュウ</t>
    </rPh>
    <rPh sb="30" eb="32">
      <t>カンソク</t>
    </rPh>
    <phoneticPr fontId="2"/>
  </si>
  <si>
    <t>この頃海峡の両側は闇に包まれる。</t>
  </si>
  <si>
    <t>First Point灯台で降灰の終了</t>
    <rPh sb="11" eb="13">
      <t>トウダイ</t>
    </rPh>
    <rPh sb="14" eb="16">
      <t>コウハイ</t>
    </rPh>
    <rPh sb="17" eb="19">
      <t>シュウリョウ</t>
    </rPh>
    <phoneticPr fontId="2"/>
  </si>
  <si>
    <t>船(Loudon)がクラカタウが消滅していることに気づく。煙も見当たらず。北方の浅瀬からは煙が上がっていた。</t>
    <rPh sb="0" eb="1">
      <t>フネ</t>
    </rPh>
    <rPh sb="16" eb="18">
      <t>ショウメツ</t>
    </rPh>
    <rPh sb="25" eb="26">
      <t>キ</t>
    </rPh>
    <rPh sb="29" eb="30">
      <t>ケムリ</t>
    </rPh>
    <rPh sb="31" eb="33">
      <t>ミア</t>
    </rPh>
    <rPh sb="37" eb="39">
      <t>ホッポウ</t>
    </rPh>
    <rPh sb="40" eb="42">
      <t>アサセ</t>
    </rPh>
    <rPh sb="45" eb="46">
      <t>ケムリ</t>
    </rPh>
    <rPh sb="47" eb="48">
      <t>ア</t>
    </rPh>
    <phoneticPr fontId="2"/>
  </si>
  <si>
    <t>バタビア以降潮位変動はバックグラウンドレベルに</t>
    <rPh sb="4" eb="6">
      <t>イコウ</t>
    </rPh>
    <rPh sb="6" eb="8">
      <t>チョウイ</t>
    </rPh>
    <rPh sb="8" eb="10">
      <t>ヘンドウ</t>
    </rPh>
    <phoneticPr fontId="2"/>
  </si>
  <si>
    <t>漂流軽石。北方の浅瀬は鯨の潮吹きのように噴気を上げているのが目撃。</t>
    <rPh sb="0" eb="2">
      <t>ヒョウリュウ</t>
    </rPh>
    <rPh sb="2" eb="4">
      <t>カルイシ</t>
    </rPh>
    <rPh sb="5" eb="7">
      <t>ホッポウ</t>
    </rPh>
    <rPh sb="8" eb="10">
      <t>アサセ</t>
    </rPh>
    <rPh sb="11" eb="12">
      <t>クジラ</t>
    </rPh>
    <rPh sb="13" eb="15">
      <t>シオフ</t>
    </rPh>
    <rPh sb="20" eb="22">
      <t>フンキ</t>
    </rPh>
    <rPh sb="23" eb="24">
      <t>ア</t>
    </rPh>
    <rPh sb="30" eb="32">
      <t>モクゲキ</t>
    </rPh>
    <phoneticPr fontId="2"/>
  </si>
  <si>
    <t>この頃漁師が後のAnak Krakatauの位置で泡を目撃。6/29夜間に赤熱現象?</t>
    <rPh sb="2" eb="3">
      <t>コロ</t>
    </rPh>
    <rPh sb="3" eb="5">
      <t>リョウシ</t>
    </rPh>
    <rPh sb="6" eb="7">
      <t>ノチ</t>
    </rPh>
    <rPh sb="22" eb="24">
      <t>イチ</t>
    </rPh>
    <rPh sb="25" eb="26">
      <t>アワ</t>
    </rPh>
    <rPh sb="27" eb="29">
      <t>モクゲキ</t>
    </rPh>
    <rPh sb="34" eb="36">
      <t>ヤカン</t>
    </rPh>
    <rPh sb="37" eb="41">
      <t>セキネツゲンショウ</t>
    </rPh>
    <phoneticPr fontId="2"/>
  </si>
  <si>
    <t>1919年の水深測定で後のAnak Krakatauに相当する地形があった?</t>
    <rPh sb="4" eb="5">
      <t>ネン</t>
    </rPh>
    <rPh sb="6" eb="8">
      <t>スイシン</t>
    </rPh>
    <rPh sb="8" eb="10">
      <t>ソクテイ</t>
    </rPh>
    <rPh sb="11" eb="12">
      <t>ノチ</t>
    </rPh>
    <rPh sb="27" eb="29">
      <t>ソウトウ</t>
    </rPh>
    <rPh sb="31" eb="33">
      <t>チケイ</t>
    </rPh>
    <phoneticPr fontId="2"/>
  </si>
  <si>
    <t>噴煙が60-1200mまで上昇。Anak Krakatauの始まり。</t>
    <rPh sb="0" eb="2">
      <t>フンエン</t>
    </rPh>
    <rPh sb="13" eb="15">
      <t>ジョウショウ</t>
    </rPh>
    <rPh sb="30" eb="31">
      <t>ハジ</t>
    </rPh>
    <phoneticPr fontId="2"/>
  </si>
  <si>
    <t>日時・詳細不明</t>
    <rPh sb="0" eb="2">
      <t>ニチジ</t>
    </rPh>
    <rPh sb="3" eb="5">
      <t>ショウサイ</t>
    </rPh>
    <rPh sb="5" eb="7">
      <t>フメイ</t>
    </rPh>
    <phoneticPr fontId="2"/>
  </si>
  <si>
    <t>Mt. Tridentにおける21年間にわたる間欠的な噴火活動。火山群において1912年以降で確定している唯一の噴火。</t>
    <rPh sb="17" eb="19">
      <t>ネンカン</t>
    </rPh>
    <rPh sb="23" eb="26">
      <t>カンケツテキ</t>
    </rPh>
    <rPh sb="27" eb="29">
      <t>フンカ</t>
    </rPh>
    <rPh sb="29" eb="31">
      <t>カツドウ</t>
    </rPh>
    <rPh sb="32" eb="35">
      <t>カザングン</t>
    </rPh>
    <rPh sb="43" eb="44">
      <t>ネン</t>
    </rPh>
    <rPh sb="44" eb="46">
      <t>イコウ</t>
    </rPh>
    <rPh sb="47" eb="49">
      <t>カクテイ</t>
    </rPh>
    <rPh sb="53" eb="55">
      <t>ユイイツ</t>
    </rPh>
    <rPh sb="56" eb="58">
      <t>フンカ</t>
    </rPh>
    <phoneticPr fontId="2"/>
  </si>
  <si>
    <t>噴火</t>
    <rPh sb="0" eb="2">
      <t>フンカ</t>
    </rPh>
    <phoneticPr fontId="2"/>
  </si>
  <si>
    <t>気象庁 富士山 有史以降の火山活動</t>
    <rPh sb="0" eb="3">
      <t>キショウチョウ</t>
    </rPh>
    <rPh sb="4" eb="7">
      <t>フジサン</t>
    </rPh>
    <rPh sb="8" eb="10">
      <t>ユウシ</t>
    </rPh>
    <rPh sb="10" eb="12">
      <t>イコウ</t>
    </rPh>
    <rPh sb="13" eb="15">
      <t>カザン</t>
    </rPh>
    <rPh sb="15" eb="17">
      <t>カツドウ</t>
    </rPh>
    <phoneticPr fontId="2"/>
  </si>
  <si>
    <t>数度にわたり噴火</t>
    <rPh sb="0" eb="2">
      <t>スウド</t>
    </rPh>
    <rPh sb="6" eb="8">
      <t>フンカ</t>
    </rPh>
    <phoneticPr fontId="2"/>
  </si>
  <si>
    <t>火砕物降下</t>
    <rPh sb="0" eb="3">
      <t>カサイブツ</t>
    </rPh>
    <rPh sb="3" eb="5">
      <t>コウカ</t>
    </rPh>
    <phoneticPr fontId="2"/>
  </si>
  <si>
    <t>火砕物降下。夏から秋に数回。降灰で農作物被害</t>
    <rPh sb="0" eb="5">
      <t>カサイブツコウカ</t>
    </rPh>
    <rPh sb="6" eb="7">
      <t>ナツ</t>
    </rPh>
    <rPh sb="9" eb="10">
      <t>アキ</t>
    </rPh>
    <rPh sb="11" eb="13">
      <t>スウカイ</t>
    </rPh>
    <rPh sb="14" eb="16">
      <t>コウハイ</t>
    </rPh>
    <rPh sb="17" eb="20">
      <t>ノウサクブツ</t>
    </rPh>
    <rPh sb="20" eb="22">
      <t>ヒガイ</t>
    </rPh>
    <phoneticPr fontId="2"/>
  </si>
  <si>
    <t>9月または10月</t>
    <rPh sb="1" eb="2">
      <t>ガツ</t>
    </rPh>
    <rPh sb="7" eb="8">
      <t>ガツ</t>
    </rPh>
    <phoneticPr fontId="2"/>
  </si>
  <si>
    <t>噴石</t>
    <rPh sb="0" eb="2">
      <t>フンセキ</t>
    </rPh>
    <phoneticPr fontId="2"/>
  </si>
  <si>
    <t>火砕物降下</t>
    <rPh sb="0" eb="5">
      <t>カサイブツコウカ</t>
    </rPh>
    <phoneticPr fontId="2"/>
  </si>
  <si>
    <t>11月、12月、2月。火砕物降下。</t>
    <rPh sb="2" eb="3">
      <t>ガツ</t>
    </rPh>
    <rPh sb="6" eb="7">
      <t>ガツ</t>
    </rPh>
    <rPh sb="9" eb="10">
      <t>ガツ</t>
    </rPh>
    <rPh sb="11" eb="14">
      <t>カサイブツ</t>
    </rPh>
    <rPh sb="14" eb="16">
      <t>コウカ</t>
    </rPh>
    <phoneticPr fontId="2"/>
  </si>
  <si>
    <t>火砕物降下。噴石のため登山者15名死亡。</t>
  </si>
  <si>
    <t>噴火?</t>
    <rPh sb="0" eb="2">
      <t>フンカ</t>
    </rPh>
    <phoneticPr fontId="2"/>
  </si>
  <si>
    <t>火砕物降下、江戸に降砂</t>
    <rPh sb="0" eb="3">
      <t>カサイブツ</t>
    </rPh>
    <rPh sb="3" eb="5">
      <t>コウカ</t>
    </rPh>
    <rPh sb="6" eb="8">
      <t>エド</t>
    </rPh>
    <rPh sb="9" eb="10">
      <t>コウ</t>
    </rPh>
    <rPh sb="10" eb="11">
      <t>スナ</t>
    </rPh>
    <phoneticPr fontId="2"/>
  </si>
  <si>
    <t>噴石で山麓焼ける</t>
    <rPh sb="0" eb="2">
      <t>フンセキ</t>
    </rPh>
    <rPh sb="3" eb="5">
      <t>サンロク</t>
    </rPh>
    <rPh sb="5" eb="6">
      <t>ヤ</t>
    </rPh>
    <phoneticPr fontId="2"/>
  </si>
  <si>
    <t>1m以上の積雪を融解。</t>
    <rPh sb="2" eb="4">
      <t>イジョウ</t>
    </rPh>
    <rPh sb="5" eb="7">
      <t>セキセツ</t>
    </rPh>
    <rPh sb="8" eb="10">
      <t>ユウカイ</t>
    </rPh>
    <phoneticPr fontId="2"/>
  </si>
  <si>
    <t>噴石のため死者多数</t>
    <rPh sb="0" eb="2">
      <t>フンセキ</t>
    </rPh>
    <rPh sb="5" eb="7">
      <t>シシャ</t>
    </rPh>
    <rPh sb="7" eb="9">
      <t>タスウ</t>
    </rPh>
    <phoneticPr fontId="2"/>
  </si>
  <si>
    <t>5月、8月、9月</t>
    <rPh sb="1" eb="2">
      <t>ガツ</t>
    </rPh>
    <rPh sb="4" eb="5">
      <t>ガツ</t>
    </rPh>
    <rPh sb="7" eb="8">
      <t>ガツ</t>
    </rPh>
    <phoneticPr fontId="2"/>
  </si>
  <si>
    <t>江戸に降灰</t>
    <rPh sb="0" eb="2">
      <t>エド</t>
    </rPh>
    <rPh sb="3" eb="5">
      <t>コウハイ</t>
    </rPh>
    <phoneticPr fontId="2"/>
  </si>
  <si>
    <t>7月と11月。火砕物降下</t>
    <rPh sb="1" eb="2">
      <t>ガツ</t>
    </rPh>
    <rPh sb="5" eb="6">
      <t>ガツ</t>
    </rPh>
    <rPh sb="7" eb="10">
      <t>カサイブツ</t>
    </rPh>
    <rPh sb="10" eb="12">
      <t>コウカ</t>
    </rPh>
    <phoneticPr fontId="2"/>
  </si>
  <si>
    <t>鳴動</t>
    <rPh sb="0" eb="2">
      <t>メイドウ</t>
    </rPh>
    <phoneticPr fontId="2"/>
  </si>
  <si>
    <t>噴煙・鳴動</t>
    <rPh sb="0" eb="2">
      <t>フンエン</t>
    </rPh>
    <rPh sb="3" eb="5">
      <t>メイドウ</t>
    </rPh>
    <phoneticPr fontId="2"/>
  </si>
  <si>
    <t>降灰</t>
    <rPh sb="0" eb="2">
      <t>コウハイ</t>
    </rPh>
    <phoneticPr fontId="2"/>
  </si>
  <si>
    <t>春から秋にかけてたびたび噴火</t>
    <rPh sb="0" eb="1">
      <t>ハル</t>
    </rPh>
    <rPh sb="3" eb="4">
      <t>アキ</t>
    </rPh>
    <rPh sb="12" eb="14">
      <t>フンカ</t>
    </rPh>
    <phoneticPr fontId="2"/>
  </si>
  <si>
    <t>火砕物降下。山火事。鳴動。</t>
    <rPh sb="0" eb="5">
      <t>カサイブツコウカ</t>
    </rPh>
    <rPh sb="6" eb="9">
      <t>ヤマカジ</t>
    </rPh>
    <rPh sb="10" eb="12">
      <t>メイドウ</t>
    </rPh>
    <phoneticPr fontId="2"/>
  </si>
  <si>
    <t>夜間鳴動多数</t>
    <rPh sb="0" eb="2">
      <t>ヤカン</t>
    </rPh>
    <rPh sb="2" eb="4">
      <t>メイドウ</t>
    </rPh>
    <rPh sb="4" eb="6">
      <t>タスウ</t>
    </rPh>
    <phoneticPr fontId="2"/>
  </si>
  <si>
    <t>噴火・降灰</t>
    <rPh sb="0" eb="2">
      <t>フンカ</t>
    </rPh>
    <rPh sb="3" eb="5">
      <t>コウハイ</t>
    </rPh>
    <phoneticPr fontId="2"/>
  </si>
  <si>
    <t>1899－1961まで間欠的な噴火。3年以上間を置くことなし。</t>
    <rPh sb="11" eb="14">
      <t>カンケツテキ</t>
    </rPh>
    <rPh sb="15" eb="17">
      <t>フンカ</t>
    </rPh>
    <rPh sb="19" eb="22">
      <t>ネンイジョウ</t>
    </rPh>
    <rPh sb="22" eb="23">
      <t>マ</t>
    </rPh>
    <rPh sb="24" eb="25">
      <t>オ</t>
    </rPh>
    <phoneticPr fontId="2"/>
  </si>
  <si>
    <t>関東南部に降灰</t>
    <rPh sb="0" eb="2">
      <t>カントウ</t>
    </rPh>
    <rPh sb="2" eb="4">
      <t>ナンブ</t>
    </rPh>
    <rPh sb="5" eb="7">
      <t>コウハイ</t>
    </rPh>
    <phoneticPr fontId="2"/>
  </si>
  <si>
    <t>関東中部に降灰</t>
    <rPh sb="0" eb="2">
      <t>カントウ</t>
    </rPh>
    <rPh sb="2" eb="4">
      <t>チュウブ</t>
    </rPh>
    <rPh sb="5" eb="7">
      <t>コウハイ</t>
    </rPh>
    <phoneticPr fontId="2"/>
  </si>
  <si>
    <t>水蒸気噴火</t>
    <rPh sb="0" eb="3">
      <t>スイジョウキ</t>
    </rPh>
    <rPh sb="3" eb="5">
      <t>フンカ</t>
    </rPh>
    <phoneticPr fontId="2"/>
  </si>
  <si>
    <t>地震群発</t>
    <rPh sb="0" eb="2">
      <t>ジシン</t>
    </rPh>
    <rPh sb="2" eb="4">
      <t>グンパツ</t>
    </rPh>
    <phoneticPr fontId="2"/>
  </si>
  <si>
    <t>房総半島まで降灰</t>
    <rPh sb="0" eb="2">
      <t>ボウソウ</t>
    </rPh>
    <rPh sb="2" eb="4">
      <t>ハントウ</t>
    </rPh>
    <rPh sb="6" eb="8">
      <t>コウハイ</t>
    </rPh>
    <phoneticPr fontId="2"/>
  </si>
  <si>
    <t>ごく小規模噴火</t>
    <rPh sb="2" eb="5">
      <t>ショウキボ</t>
    </rPh>
    <rPh sb="5" eb="7">
      <t>フンカ</t>
    </rPh>
    <phoneticPr fontId="2"/>
  </si>
  <si>
    <t>長野県・関東北部・福島県太平洋岸まで降灰</t>
    <rPh sb="0" eb="3">
      <t>ナガノケン</t>
    </rPh>
    <rPh sb="4" eb="6">
      <t>カントウ</t>
    </rPh>
    <rPh sb="6" eb="8">
      <t>ホクブ</t>
    </rPh>
    <rPh sb="9" eb="12">
      <t>フクシマケン</t>
    </rPh>
    <rPh sb="12" eb="16">
      <t>タイヘイヨウガン</t>
    </rPh>
    <rPh sb="18" eb="20">
      <t>コウハイ</t>
    </rPh>
    <phoneticPr fontId="2"/>
  </si>
  <si>
    <t>ほぼ毎年地震回数多めの時期あり</t>
    <rPh sb="2" eb="4">
      <t>マイトシ</t>
    </rPh>
    <rPh sb="4" eb="6">
      <t>ジシン</t>
    </rPh>
    <rPh sb="6" eb="8">
      <t>カイスウ</t>
    </rPh>
    <rPh sb="8" eb="9">
      <t>オオ</t>
    </rPh>
    <rPh sb="11" eb="13">
      <t>ジキ</t>
    </rPh>
    <phoneticPr fontId="2"/>
  </si>
  <si>
    <t>間欠的なブルカノ式噴火</t>
    <rPh sb="0" eb="3">
      <t>カンケツテキ</t>
    </rPh>
    <rPh sb="8" eb="11">
      <t>シキフンカ</t>
    </rPh>
    <phoneticPr fontId="2"/>
  </si>
  <si>
    <t>関東、千葉県勝浦まで降灰</t>
    <rPh sb="0" eb="2">
      <t>カントウ</t>
    </rPh>
    <rPh sb="3" eb="6">
      <t>チバケン</t>
    </rPh>
    <rPh sb="6" eb="8">
      <t>カツウラ</t>
    </rPh>
    <rPh sb="10" eb="12">
      <t>コウハイ</t>
    </rPh>
    <phoneticPr fontId="2"/>
  </si>
  <si>
    <t>関東南部まで降灰</t>
    <rPh sb="0" eb="2">
      <t>カントウ</t>
    </rPh>
    <rPh sb="2" eb="4">
      <t>ナンブ</t>
    </rPh>
    <rPh sb="6" eb="8">
      <t>コウハイ</t>
    </rPh>
    <phoneticPr fontId="2"/>
  </si>
  <si>
    <t>東北地方太平洋沖地震以降、地震活動が活発化</t>
    <rPh sb="0" eb="2">
      <t>トウホク</t>
    </rPh>
    <rPh sb="2" eb="4">
      <t>チホウ</t>
    </rPh>
    <rPh sb="4" eb="7">
      <t>タイヘイヨウ</t>
    </rPh>
    <rPh sb="7" eb="8">
      <t>オキ</t>
    </rPh>
    <rPh sb="8" eb="10">
      <t>ジシン</t>
    </rPh>
    <rPh sb="10" eb="12">
      <t>イコウ</t>
    </rPh>
    <rPh sb="13" eb="15">
      <t>ジシン</t>
    </rPh>
    <rPh sb="15" eb="17">
      <t>カツドウ</t>
    </rPh>
    <rPh sb="18" eb="21">
      <t>カッパツカ</t>
    </rPh>
    <phoneticPr fontId="2"/>
  </si>
  <si>
    <t>微量の火山灰噴出</t>
    <rPh sb="0" eb="2">
      <t>ビリョウ</t>
    </rPh>
    <rPh sb="3" eb="6">
      <t>カザンバイ</t>
    </rPh>
    <rPh sb="6" eb="8">
      <t>フンシュツ</t>
    </rPh>
    <phoneticPr fontId="2"/>
  </si>
  <si>
    <t>静穏</t>
    <rPh sb="0" eb="2">
      <t>セイオン</t>
    </rPh>
    <phoneticPr fontId="2"/>
  </si>
  <si>
    <t>地震</t>
    <rPh sb="0" eb="2">
      <t>ジシン</t>
    </rPh>
    <phoneticPr fontId="2"/>
  </si>
  <si>
    <t>気象庁 有史以降の火山活動</t>
    <rPh sb="0" eb="3">
      <t>キショウチョウ</t>
    </rPh>
    <rPh sb="4" eb="6">
      <t>ユウシ</t>
    </rPh>
    <rPh sb="6" eb="8">
      <t>イコウ</t>
    </rPh>
    <rPh sb="9" eb="11">
      <t>カザン</t>
    </rPh>
    <rPh sb="11" eb="13">
      <t>カツドウ</t>
    </rPh>
    <phoneticPr fontId="2"/>
  </si>
  <si>
    <t>Days since Jan 1 of 1883</t>
    <phoneticPr fontId="2"/>
  </si>
  <si>
    <t>定義上の噴火開始。Continuousとの整合性のため21時開始とする。</t>
    <rPh sb="0" eb="2">
      <t>テイギ</t>
    </rPh>
    <rPh sb="2" eb="3">
      <t>ジョウ</t>
    </rPh>
    <rPh sb="4" eb="6">
      <t>フンカ</t>
    </rPh>
    <rPh sb="6" eb="8">
      <t>カイシ</t>
    </rPh>
    <rPh sb="21" eb="24">
      <t>セイゴウセイ</t>
    </rPh>
    <rPh sb="29" eb="30">
      <t>ジ</t>
    </rPh>
    <rPh sb="30" eb="32">
      <t>カイシ</t>
    </rPh>
    <phoneticPr fontId="2"/>
  </si>
  <si>
    <t>Self (1992)のクライマックス噴火開始</t>
    <rPh sb="19" eb="21">
      <t>フンカ</t>
    </rPh>
    <rPh sb="21" eb="23">
      <t>カイシ</t>
    </rPh>
    <phoneticPr fontId="2"/>
  </si>
  <si>
    <t>start</t>
    <phoneticPr fontId="2"/>
  </si>
  <si>
    <t>end</t>
    <phoneticPr fontId="2"/>
  </si>
  <si>
    <t>地震</t>
    <rPh sb="0" eb="2">
      <t>ジシン</t>
    </rPh>
    <phoneticPr fontId="2"/>
  </si>
  <si>
    <t>有感地震多発</t>
    <rPh sb="0" eb="2">
      <t>ユウカン</t>
    </rPh>
    <rPh sb="2" eb="4">
      <t>ジシン</t>
    </rPh>
    <rPh sb="4" eb="6">
      <t>タハツ</t>
    </rPh>
    <phoneticPr fontId="2"/>
  </si>
  <si>
    <t>気象庁 有珠山 有史以降の火山活動</t>
  </si>
  <si>
    <t>小規模な水蒸気爆発</t>
    <rPh sb="0" eb="3">
      <t>ショウキボ</t>
    </rPh>
    <rPh sb="4" eb="7">
      <t>スイジョウキ</t>
    </rPh>
    <rPh sb="7" eb="9">
      <t>バクハツ</t>
    </rPh>
    <phoneticPr fontId="2"/>
  </si>
  <si>
    <t>気象庁 有珠山 有史以降の火山活動; Yokoyama et al. (1981) JVGR</t>
    <rPh sb="0" eb="3">
      <t>キショウチョウ</t>
    </rPh>
    <rPh sb="4" eb="7">
      <t>ウスザン</t>
    </rPh>
    <rPh sb="8" eb="10">
      <t>ユウシ</t>
    </rPh>
    <rPh sb="10" eb="12">
      <t>イコウ</t>
    </rPh>
    <rPh sb="13" eb="15">
      <t>カザン</t>
    </rPh>
    <rPh sb="15" eb="17">
      <t>カツドウ</t>
    </rPh>
    <phoneticPr fontId="2"/>
  </si>
  <si>
    <t>噴火開始からおよそ1週間後に隆起開始。82年3月まで潜在溶岩ドームの有珠新山の形成</t>
    <rPh sb="0" eb="2">
      <t>フンカ</t>
    </rPh>
    <rPh sb="2" eb="4">
      <t>カイシ</t>
    </rPh>
    <rPh sb="10" eb="13">
      <t>シュウカンゴ</t>
    </rPh>
    <rPh sb="14" eb="16">
      <t>リュウキ</t>
    </rPh>
    <rPh sb="16" eb="18">
      <t>カイシ</t>
    </rPh>
    <rPh sb="21" eb="22">
      <t>ネン</t>
    </rPh>
    <rPh sb="23" eb="24">
      <t>ガツ</t>
    </rPh>
    <rPh sb="26" eb="30">
      <t>センザイヨウガン</t>
    </rPh>
    <rPh sb="34" eb="36">
      <t>ウス</t>
    </rPh>
    <rPh sb="36" eb="38">
      <t>シンザン</t>
    </rPh>
    <rPh sb="39" eb="41">
      <t>ケイセイ</t>
    </rPh>
    <phoneticPr fontId="2"/>
  </si>
  <si>
    <t>7-9月マグマ水蒸気爆発。</t>
    <rPh sb="3" eb="4">
      <t>ガツ</t>
    </rPh>
    <rPh sb="7" eb="10">
      <t>スイジョウキ</t>
    </rPh>
    <rPh sb="10" eb="12">
      <t>バクハツ</t>
    </rPh>
    <phoneticPr fontId="2"/>
  </si>
  <si>
    <t>1977-78 最後の噴火</t>
    <rPh sb="8" eb="10">
      <t>サイゴ</t>
    </rPh>
    <rPh sb="11" eb="13">
      <t>フンカ</t>
    </rPh>
    <phoneticPr fontId="2"/>
  </si>
  <si>
    <t>地震活動の高まり</t>
    <rPh sb="0" eb="4">
      <t>ジシンカツドウ</t>
    </rPh>
    <rPh sb="5" eb="6">
      <t>タカ</t>
    </rPh>
    <phoneticPr fontId="2"/>
  </si>
  <si>
    <t>地震活動の高まり 28日から有感</t>
    <rPh sb="0" eb="4">
      <t>ジシンカツドウ</t>
    </rPh>
    <rPh sb="5" eb="6">
      <t>タカ</t>
    </rPh>
    <rPh sb="11" eb="12">
      <t>ニチ</t>
    </rPh>
    <rPh sb="14" eb="16">
      <t>ユウカン</t>
    </rPh>
    <phoneticPr fontId="2"/>
  </si>
  <si>
    <t>地割れの発生・拡大</t>
    <rPh sb="0" eb="2">
      <t>ジワ</t>
    </rPh>
    <rPh sb="4" eb="6">
      <t>ハッセイ</t>
    </rPh>
    <rPh sb="7" eb="9">
      <t>カクダイ</t>
    </rPh>
    <phoneticPr fontId="2"/>
  </si>
  <si>
    <t>西山山麓で噴火 噴煙高度3.5km、噴出量24万トン</t>
    <rPh sb="0" eb="2">
      <t>ニシヤマ</t>
    </rPh>
    <rPh sb="2" eb="4">
      <t>サンロク</t>
    </rPh>
    <rPh sb="5" eb="7">
      <t>フンカ</t>
    </rPh>
    <rPh sb="8" eb="10">
      <t>フンエン</t>
    </rPh>
    <rPh sb="10" eb="12">
      <t>コウド</t>
    </rPh>
    <rPh sb="18" eb="21">
      <t>フンシュツリョウ</t>
    </rPh>
    <rPh sb="23" eb="24">
      <t>マン</t>
    </rPh>
    <phoneticPr fontId="2"/>
  </si>
  <si>
    <t>金比羅山北西山麓からも噴火</t>
    <rPh sb="0" eb="3">
      <t>コンピラ</t>
    </rPh>
    <rPh sb="3" eb="4">
      <t>サン</t>
    </rPh>
    <rPh sb="4" eb="6">
      <t>ホクセイ</t>
    </rPh>
    <rPh sb="6" eb="8">
      <t>サンロク</t>
    </rPh>
    <rPh sb="11" eb="13">
      <t>フンカ</t>
    </rPh>
    <phoneticPr fontId="2"/>
  </si>
  <si>
    <t>以降9月まで散発的に小規模な噴火。活動度は徐々に低下。</t>
    <rPh sb="0" eb="2">
      <t>イコウ</t>
    </rPh>
    <rPh sb="3" eb="4">
      <t>ガツ</t>
    </rPh>
    <rPh sb="6" eb="9">
      <t>サンパツテキ</t>
    </rPh>
    <rPh sb="10" eb="13">
      <t>ショウキボ</t>
    </rPh>
    <rPh sb="14" eb="16">
      <t>フンカ</t>
    </rPh>
    <rPh sb="17" eb="20">
      <t>カツドウド</t>
    </rPh>
    <rPh sb="21" eb="23">
      <t>ジョジョ</t>
    </rPh>
    <rPh sb="24" eb="26">
      <t>テイカ</t>
    </rPh>
    <phoneticPr fontId="2"/>
  </si>
  <si>
    <t xml:space="preserve">12/28-6//2まで地震活動の高まり </t>
    <rPh sb="12" eb="16">
      <t>ジシンカツドウ</t>
    </rPh>
    <rPh sb="17" eb="18">
      <t>タカ</t>
    </rPh>
    <phoneticPr fontId="2"/>
  </si>
  <si>
    <t>激しい隆起。まず東麓・柳原で地盤隆起 16m。中旬以降北方のフカバで50m隆起</t>
    <rPh sb="0" eb="1">
      <t>ハゲ</t>
    </rPh>
    <rPh sb="3" eb="5">
      <t>リュウキ</t>
    </rPh>
    <rPh sb="8" eb="10">
      <t>トウロク</t>
    </rPh>
    <rPh sb="11" eb="13">
      <t>ヤナハラ</t>
    </rPh>
    <rPh sb="14" eb="16">
      <t>ジバン</t>
    </rPh>
    <rPh sb="16" eb="18">
      <t>リュウキ</t>
    </rPh>
    <rPh sb="23" eb="25">
      <t>チュウジュン</t>
    </rPh>
    <rPh sb="25" eb="27">
      <t>イコウ</t>
    </rPh>
    <rPh sb="27" eb="29">
      <t>ホッポウ</t>
    </rPh>
    <rPh sb="37" eb="39">
      <t>リュウキ</t>
    </rPh>
    <phoneticPr fontId="2"/>
  </si>
  <si>
    <t>ブルカノ式噴火を繰り返す</t>
    <rPh sb="4" eb="5">
      <t>シキ</t>
    </rPh>
    <rPh sb="5" eb="7">
      <t>フンカ</t>
    </rPh>
    <rPh sb="8" eb="9">
      <t>ク</t>
    </rPh>
    <rPh sb="10" eb="11">
      <t>カエ</t>
    </rPh>
    <phoneticPr fontId="2"/>
  </si>
  <si>
    <t>昭和新山溶岩ドームの形成</t>
    <rPh sb="0" eb="4">
      <t>ショウワシンザン</t>
    </rPh>
    <rPh sb="4" eb="6">
      <t>ヨウガン</t>
    </rPh>
    <rPh sb="10" eb="12">
      <t>ケイセイ</t>
    </rPh>
    <phoneticPr fontId="2"/>
  </si>
  <si>
    <t>鳴動</t>
    <rPh sb="0" eb="2">
      <t>メイドウ</t>
    </rPh>
    <phoneticPr fontId="2"/>
  </si>
  <si>
    <t>大有珠溶岩ドームの形成</t>
    <rPh sb="0" eb="1">
      <t>オオ</t>
    </rPh>
    <rPh sb="1" eb="3">
      <t>ウス</t>
    </rPh>
    <rPh sb="3" eb="5">
      <t>ヨウガン</t>
    </rPh>
    <rPh sb="9" eb="11">
      <t>ケイセイ</t>
    </rPh>
    <phoneticPr fontId="2"/>
  </si>
  <si>
    <t>軽石噴火</t>
    <rPh sb="0" eb="2">
      <t>カルイシ</t>
    </rPh>
    <rPh sb="2" eb="4">
      <t>フンカ</t>
    </rPh>
    <phoneticPr fontId="2"/>
  </si>
  <si>
    <t>地震活動の高まり</t>
    <rPh sb="0" eb="2">
      <t>ジシン</t>
    </rPh>
    <rPh sb="2" eb="4">
      <t>カツドウ</t>
    </rPh>
    <rPh sb="5" eb="6">
      <t>タカ</t>
    </rPh>
    <phoneticPr fontId="2"/>
  </si>
  <si>
    <t>文政火砕流</t>
    <rPh sb="0" eb="2">
      <t>ブンセイ</t>
    </rPh>
    <rPh sb="2" eb="5">
      <t>カサイリュウ</t>
    </rPh>
    <phoneticPr fontId="2"/>
  </si>
  <si>
    <t>小有珠溶岩ドームの形成</t>
    <rPh sb="0" eb="1">
      <t>コ</t>
    </rPh>
    <rPh sb="1" eb="3">
      <t>ウス</t>
    </rPh>
    <rPh sb="3" eb="5">
      <t>ヨウガン</t>
    </rPh>
    <rPh sb="9" eb="11">
      <t>ケイセイ</t>
    </rPh>
    <phoneticPr fontId="2"/>
  </si>
  <si>
    <t>軽石噴火、明和火砕流、オガリ山潜在溶岩ドームの形成</t>
    <rPh sb="0" eb="2">
      <t>カルイシ</t>
    </rPh>
    <rPh sb="2" eb="4">
      <t>フンカ</t>
    </rPh>
    <rPh sb="5" eb="7">
      <t>メイワ</t>
    </rPh>
    <rPh sb="7" eb="10">
      <t>カサイリュウ</t>
    </rPh>
    <rPh sb="14" eb="15">
      <t>ヤマ</t>
    </rPh>
    <rPh sb="15" eb="19">
      <t>センザイヨウガン</t>
    </rPh>
    <rPh sb="23" eb="25">
      <t>ケイセイ</t>
    </rPh>
    <phoneticPr fontId="2"/>
  </si>
  <si>
    <t>1663~1769年。先明和噴火。軽石噴火、先小有珠溶岩ドームの形成</t>
    <rPh sb="9" eb="10">
      <t>ネン</t>
    </rPh>
    <rPh sb="11" eb="12">
      <t>セン</t>
    </rPh>
    <rPh sb="12" eb="14">
      <t>メイワ</t>
    </rPh>
    <rPh sb="14" eb="16">
      <t>フンカ</t>
    </rPh>
    <rPh sb="17" eb="21">
      <t>カルイシフンカ</t>
    </rPh>
    <rPh sb="22" eb="23">
      <t>セン</t>
    </rPh>
    <rPh sb="23" eb="26">
      <t>コウス</t>
    </rPh>
    <rPh sb="26" eb="28">
      <t>ヨウガン</t>
    </rPh>
    <rPh sb="32" eb="34">
      <t>ケイセイ</t>
    </rPh>
    <phoneticPr fontId="2"/>
  </si>
  <si>
    <t>軽石噴火（有珠b降下火砕堆積物）</t>
    <rPh sb="0" eb="2">
      <t>カルイシ</t>
    </rPh>
    <rPh sb="2" eb="4">
      <t>フンカ</t>
    </rPh>
    <rPh sb="5" eb="7">
      <t>ウス</t>
    </rPh>
    <rPh sb="8" eb="10">
      <t>コウカ</t>
    </rPh>
    <rPh sb="10" eb="12">
      <t>カサイ</t>
    </rPh>
    <rPh sb="12" eb="15">
      <t>タイセキブツ</t>
    </rPh>
    <phoneticPr fontId="2"/>
  </si>
  <si>
    <t>噴火は8月末まで続いた</t>
    <rPh sb="0" eb="2">
      <t>フンカ</t>
    </rPh>
    <rPh sb="4" eb="6">
      <t>ガツマツ</t>
    </rPh>
    <rPh sb="8" eb="9">
      <t>ツヅ</t>
    </rPh>
    <phoneticPr fontId="2"/>
  </si>
  <si>
    <t>割れ目火口からの噴火。四十三山潜在溶岩ドームの形成。</t>
    <rPh sb="0" eb="1">
      <t>ワ</t>
    </rPh>
    <rPh sb="2" eb="3">
      <t>メ</t>
    </rPh>
    <rPh sb="3" eb="5">
      <t>カコウ</t>
    </rPh>
    <rPh sb="8" eb="10">
      <t>フンカ</t>
    </rPh>
    <rPh sb="11" eb="15">
      <t>ヨソミヤマ</t>
    </rPh>
    <rPh sb="15" eb="17">
      <t>センザイ</t>
    </rPh>
    <rPh sb="17" eb="19">
      <t>ヨウガン</t>
    </rPh>
    <rPh sb="23" eb="25">
      <t>ケイセイ</t>
    </rPh>
    <phoneticPr fontId="2"/>
  </si>
  <si>
    <t>無理矢理間の強いデジタイズなのでDescreteの方を読むことを推奨</t>
    <rPh sb="0" eb="4">
      <t>ムリヤリ</t>
    </rPh>
    <rPh sb="4" eb="5">
      <t>カン</t>
    </rPh>
    <rPh sb="6" eb="7">
      <t>ツヨ</t>
    </rPh>
    <rPh sb="25" eb="26">
      <t>ホウ</t>
    </rPh>
    <rPh sb="27" eb="28">
      <t>ヨ</t>
    </rPh>
    <rPh sb="32" eb="34">
      <t>スイショウ</t>
    </rPh>
    <phoneticPr fontId="2"/>
  </si>
  <si>
    <t>1954年以降、1年以上間を開けることなく間欠的なブルカノ式噴火を継続</t>
    <rPh sb="4" eb="5">
      <t>ネン</t>
    </rPh>
    <rPh sb="5" eb="7">
      <t>イコウ</t>
    </rPh>
    <rPh sb="9" eb="12">
      <t>ネンイジョウ</t>
    </rPh>
    <rPh sb="12" eb="13">
      <t>マ</t>
    </rPh>
    <rPh sb="14" eb="15">
      <t>ア</t>
    </rPh>
    <rPh sb="21" eb="24">
      <t>カンケツテキ</t>
    </rPh>
    <rPh sb="29" eb="32">
      <t>シキフンカ</t>
    </rPh>
    <rPh sb="33" eb="35">
      <t>ケイゾク</t>
    </rPh>
    <phoneticPr fontId="2"/>
  </si>
  <si>
    <t>9-10月降灰・噴煙</t>
    <rPh sb="4" eb="5">
      <t>ガツ</t>
    </rPh>
    <rPh sb="5" eb="7">
      <t>コウハイ</t>
    </rPh>
    <rPh sb="8" eb="10">
      <t>フンエン</t>
    </rPh>
    <phoneticPr fontId="2"/>
  </si>
  <si>
    <t>42年7月まで1年以上間を開けることなく間欠的に噴火</t>
    <rPh sb="2" eb="3">
      <t>ネン</t>
    </rPh>
    <rPh sb="4" eb="5">
      <t>ガツ</t>
    </rPh>
    <rPh sb="8" eb="11">
      <t>ネンイジョウ</t>
    </rPh>
    <rPh sb="11" eb="12">
      <t>カン</t>
    </rPh>
    <rPh sb="13" eb="14">
      <t>ア</t>
    </rPh>
    <rPh sb="20" eb="23">
      <t>カンケツテキ</t>
    </rPh>
    <rPh sb="24" eb="26">
      <t>フンカ</t>
    </rPh>
    <phoneticPr fontId="2"/>
  </si>
  <si>
    <t>昭和噴火まで。鳴動・噴煙など。</t>
    <rPh sb="0" eb="2">
      <t>ショウワ</t>
    </rPh>
    <rPh sb="2" eb="4">
      <t>フンカ</t>
    </rPh>
    <rPh sb="7" eb="9">
      <t>メイドウ</t>
    </rPh>
    <rPh sb="10" eb="12">
      <t>フンエン</t>
    </rPh>
    <phoneticPr fontId="2"/>
  </si>
  <si>
    <t>昭和噴火。11月までときどき降灰。3月は毎日降灰。</t>
    <rPh sb="0" eb="2">
      <t>ショウワ</t>
    </rPh>
    <rPh sb="2" eb="4">
      <t>フンカ</t>
    </rPh>
    <rPh sb="7" eb="8">
      <t>ガツ</t>
    </rPh>
    <rPh sb="14" eb="16">
      <t>コウハイ</t>
    </rPh>
    <rPh sb="18" eb="19">
      <t>ガツ</t>
    </rPh>
    <rPh sb="20" eb="22">
      <t>マイニチ</t>
    </rPh>
    <rPh sb="22" eb="24">
      <t>コウハイ</t>
    </rPh>
    <phoneticPr fontId="2"/>
  </si>
  <si>
    <t>昭和噴火の溶岩噴出</t>
    <rPh sb="0" eb="2">
      <t>ショウワ</t>
    </rPh>
    <rPh sb="2" eb="4">
      <t>フンカ</t>
    </rPh>
    <rPh sb="5" eb="7">
      <t>ヨウガン</t>
    </rPh>
    <rPh sb="7" eb="9">
      <t>フンシュツ</t>
    </rPh>
    <phoneticPr fontId="2"/>
  </si>
  <si>
    <t>ガス</t>
    <phoneticPr fontId="2"/>
  </si>
  <si>
    <t>東麓有村で火山ガスによる死亡事故</t>
    <rPh sb="0" eb="2">
      <t>トウロク</t>
    </rPh>
    <rPh sb="2" eb="4">
      <t>アリムラ</t>
    </rPh>
    <rPh sb="5" eb="7">
      <t>カザン</t>
    </rPh>
    <rPh sb="12" eb="14">
      <t>シボウ</t>
    </rPh>
    <rPh sb="14" eb="16">
      <t>ジコ</t>
    </rPh>
    <phoneticPr fontId="2"/>
  </si>
  <si>
    <t>降灰</t>
    <rPh sb="0" eb="2">
      <t>コウハイ</t>
    </rPh>
    <phoneticPr fontId="2"/>
  </si>
  <si>
    <t>3年以上間を開けることなく降灰する噴火記録あり</t>
    <rPh sb="1" eb="4">
      <t>ネンイジョウ</t>
    </rPh>
    <rPh sb="4" eb="5">
      <t>マ</t>
    </rPh>
    <rPh sb="6" eb="7">
      <t>ア</t>
    </rPh>
    <rPh sb="13" eb="15">
      <t>コウハイ</t>
    </rPh>
    <rPh sb="17" eb="19">
      <t>フンカ</t>
    </rPh>
    <rPh sb="19" eb="21">
      <t>キロク</t>
    </rPh>
    <phoneticPr fontId="2"/>
  </si>
  <si>
    <t>高免沖で海底噴火</t>
    <rPh sb="0" eb="2">
      <t>コウメン</t>
    </rPh>
    <rPh sb="2" eb="3">
      <t>オキ</t>
    </rPh>
    <rPh sb="4" eb="6">
      <t>カイテイ</t>
    </rPh>
    <rPh sb="6" eb="8">
      <t>フンカ</t>
    </rPh>
    <phoneticPr fontId="2"/>
  </si>
  <si>
    <t>数日前から地震頻発</t>
    <rPh sb="0" eb="3">
      <t>スウジツマエ</t>
    </rPh>
    <rPh sb="5" eb="7">
      <t>ジシン</t>
    </rPh>
    <rPh sb="7" eb="9">
      <t>ヒンパツ</t>
    </rPh>
    <phoneticPr fontId="2"/>
  </si>
  <si>
    <t>安永大噴火</t>
    <rPh sb="0" eb="2">
      <t>アンエイ</t>
    </rPh>
    <rPh sb="2" eb="5">
      <t>ダイフンカ</t>
    </rPh>
    <phoneticPr fontId="2"/>
  </si>
  <si>
    <t>Dyngjufjoll</t>
    <phoneticPr fontId="2"/>
  </si>
  <si>
    <t>NE caldera wall</t>
    <phoneticPr fontId="2"/>
  </si>
  <si>
    <t>1 km SW of caldera</t>
    <phoneticPr fontId="2"/>
  </si>
  <si>
    <t>SE corner of caldera</t>
    <phoneticPr fontId="2"/>
  </si>
  <si>
    <t>Dyngjufjoll南麓</t>
    <rPh sb="11" eb="13">
      <t>ナンロク</t>
    </rPh>
    <phoneticPr fontId="2"/>
  </si>
  <si>
    <t>Oskjuvatn湖南部</t>
    <rPh sb="9" eb="10">
      <t>ミズウミ</t>
    </rPh>
    <rPh sb="10" eb="12">
      <t>ナンブ</t>
    </rPh>
    <phoneticPr fontId="2"/>
  </si>
  <si>
    <t>Oskjuvatn湖の北</t>
    <rPh sb="9" eb="10">
      <t>ミズウミ</t>
    </rPh>
    <rPh sb="11" eb="12">
      <t>キタ</t>
    </rPh>
    <phoneticPr fontId="2"/>
  </si>
  <si>
    <t>Holuhraun</t>
    <phoneticPr fontId="2"/>
  </si>
  <si>
    <t>Local</t>
    <phoneticPr fontId="2"/>
  </si>
  <si>
    <t>噴煙柱高度12-15km VEI3</t>
    <rPh sb="0" eb="3">
      <t>フンエンチュウ</t>
    </rPh>
    <rPh sb="3" eb="5">
      <t>コウド</t>
    </rPh>
    <phoneticPr fontId="2"/>
  </si>
  <si>
    <t>VEI3</t>
    <phoneticPr fontId="2"/>
  </si>
  <si>
    <t>噴火があったとの伝承あり</t>
    <rPh sb="0" eb="2">
      <t>フンカ</t>
    </rPh>
    <rPh sb="8" eb="10">
      <t>デンショウ</t>
    </rPh>
    <phoneticPr fontId="2"/>
  </si>
  <si>
    <t>割れ目火口からのデイサイト質溶岩流出</t>
    <rPh sb="0" eb="1">
      <t>ワ</t>
    </rPh>
    <rPh sb="13" eb="14">
      <t>シツ</t>
    </rPh>
    <rPh sb="14" eb="16">
      <t>ヨウガン</t>
    </rPh>
    <rPh sb="16" eb="18">
      <t>リュウシュツ</t>
    </rPh>
    <phoneticPr fontId="2"/>
  </si>
  <si>
    <t>日時不詳</t>
    <rPh sb="0" eb="2">
      <t>ニチジ</t>
    </rPh>
    <rPh sb="2" eb="4">
      <t>フショウ</t>
    </rPh>
    <phoneticPr fontId="2"/>
  </si>
  <si>
    <t xml:space="preserve">VEI3 </t>
    <phoneticPr fontId="2"/>
  </si>
  <si>
    <t>VEI3だが"Uncertain" eruption</t>
    <phoneticPr fontId="2"/>
  </si>
  <si>
    <t>VEI4</t>
    <phoneticPr fontId="2"/>
  </si>
  <si>
    <t>Hildreth &amp; Drake (1992)</t>
    <phoneticPr fontId="2"/>
  </si>
  <si>
    <t>デイサイト溶岩の噴出 5 km3。テフラは微量。Quizapu火口の誕生。</t>
    <rPh sb="5" eb="7">
      <t>ヨウガン</t>
    </rPh>
    <rPh sb="8" eb="10">
      <t>フンシュツ</t>
    </rPh>
    <rPh sb="21" eb="23">
      <t>ビリョウ</t>
    </rPh>
    <rPh sb="31" eb="33">
      <t>カコウ</t>
    </rPh>
    <rPh sb="34" eb="36">
      <t>タンジョウ</t>
    </rPh>
    <phoneticPr fontId="2"/>
  </si>
  <si>
    <t>105km離れたMalargueの観察者: a black "pine-tree" cloud</t>
    <rPh sb="5" eb="6">
      <t>ハナ</t>
    </rPh>
    <rPh sb="17" eb="20">
      <t>カンサツシャ</t>
    </rPh>
    <phoneticPr fontId="2"/>
  </si>
  <si>
    <t>VEI2</t>
    <phoneticPr fontId="2"/>
  </si>
  <si>
    <t xml:space="preserve">"Uncertain" </t>
    <phoneticPr fontId="2"/>
  </si>
  <si>
    <t>噴気の増加</t>
    <rPh sb="0" eb="2">
      <t>フンキ</t>
    </rPh>
    <rPh sb="3" eb="5">
      <t>ゾウカ</t>
    </rPh>
    <phoneticPr fontId="2"/>
  </si>
  <si>
    <t>Zen and Hadikusumo (1964) via Self and Rampino (2012)</t>
    <phoneticPr fontId="2"/>
  </si>
  <si>
    <t>有感地震の増加。メルカリ震度階級II-III</t>
    <rPh sb="0" eb="2">
      <t>ユウカン</t>
    </rPh>
    <rPh sb="2" eb="4">
      <t>ジシン</t>
    </rPh>
    <rPh sb="5" eb="7">
      <t>ゾウカ</t>
    </rPh>
    <rPh sb="12" eb="14">
      <t>シンド</t>
    </rPh>
    <rPh sb="14" eb="16">
      <t>カイキュウ</t>
    </rPh>
    <phoneticPr fontId="2"/>
  </si>
  <si>
    <t>溶岩流出　3/17まで</t>
    <rPh sb="0" eb="2">
      <t>ヨウガン</t>
    </rPh>
    <rPh sb="2" eb="4">
      <t>リュウシュツ</t>
    </rPh>
    <phoneticPr fontId="2"/>
  </si>
  <si>
    <t>Self and Rampino (2012) BV</t>
    <phoneticPr fontId="2"/>
  </si>
  <si>
    <t>3月中旬までブルカノ式噴火 火砕流多数</t>
    <rPh sb="1" eb="2">
      <t>ガツ</t>
    </rPh>
    <rPh sb="2" eb="4">
      <t>チュウジュン</t>
    </rPh>
    <rPh sb="10" eb="13">
      <t>シキフンカ</t>
    </rPh>
    <rPh sb="14" eb="17">
      <t>カサイリュウ</t>
    </rPh>
    <rPh sb="17" eb="19">
      <t>タスウ</t>
    </rPh>
    <phoneticPr fontId="2"/>
  </si>
  <si>
    <t>5月11日まで間欠的な爆発</t>
    <rPh sb="1" eb="2">
      <t>ガツ</t>
    </rPh>
    <rPh sb="4" eb="5">
      <t>ニチ</t>
    </rPh>
    <rPh sb="7" eb="10">
      <t>カンケツテキ</t>
    </rPh>
    <rPh sb="11" eb="13">
      <t>バクハツ</t>
    </rPh>
    <phoneticPr fontId="2"/>
  </si>
  <si>
    <t>静穏期</t>
    <rPh sb="0" eb="2">
      <t>セイオン</t>
    </rPh>
    <rPh sb="2" eb="3">
      <t>キ</t>
    </rPh>
    <phoneticPr fontId="2"/>
  </si>
  <si>
    <t>翌1964/01/17まで間欠的な爆発</t>
    <rPh sb="0" eb="1">
      <t>ヨク</t>
    </rPh>
    <rPh sb="13" eb="16">
      <t>カンケツテキ</t>
    </rPh>
    <rPh sb="17" eb="19">
      <t>バクハツ</t>
    </rPh>
    <phoneticPr fontId="2"/>
  </si>
  <si>
    <t>噴煙柱高度9+2 km</t>
    <rPh sb="0" eb="3">
      <t>フンエンチュウ</t>
    </rPh>
    <rPh sb="3" eb="5">
      <t>コウド</t>
    </rPh>
    <phoneticPr fontId="2"/>
  </si>
  <si>
    <t>Climax 1 噴煙柱高度15-23 km</t>
    <rPh sb="9" eb="12">
      <t>フンエンチュウ</t>
    </rPh>
    <rPh sb="12" eb="14">
      <t>コウド</t>
    </rPh>
    <phoneticPr fontId="2"/>
  </si>
  <si>
    <t>Climax 2 噴煙柱高度13-18 km</t>
    <rPh sb="9" eb="12">
      <t>フンエンチュウ</t>
    </rPh>
    <rPh sb="12" eb="14">
      <t>コウド</t>
    </rPh>
    <phoneticPr fontId="2"/>
  </si>
  <si>
    <t>climax</t>
    <phoneticPr fontId="2"/>
  </si>
  <si>
    <t>VEI</t>
  </si>
  <si>
    <t>-</t>
  </si>
  <si>
    <t>○</t>
  </si>
  <si>
    <t>観測</t>
  </si>
  <si>
    <t>復元</t>
  </si>
  <si>
    <t>~5</t>
  </si>
  <si>
    <t>~2</t>
  </si>
  <si>
    <t>&lt;24h</t>
  </si>
  <si>
    <t>~4</t>
  </si>
  <si>
    <t>静穏</t>
  </si>
  <si>
    <t>50-100h</t>
  </si>
  <si>
    <t>(~100h)</t>
  </si>
  <si>
    <t>≦2</t>
  </si>
  <si>
    <t>静穏?</t>
  </si>
  <si>
    <t>0?</t>
  </si>
  <si>
    <t>~6</t>
  </si>
  <si>
    <t>~3?</t>
  </si>
  <si>
    <t>Kelud</t>
  </si>
  <si>
    <t>Puyehue Cordon-Caulle</t>
  </si>
  <si>
    <t>El Chichon</t>
  </si>
  <si>
    <t>Novarupta-Katmai</t>
  </si>
  <si>
    <t>浅間天明噴火</t>
  </si>
  <si>
    <t>富士山宝永噴火</t>
  </si>
  <si>
    <t>Usu</t>
  </si>
  <si>
    <t>Asama</t>
  </si>
  <si>
    <t>Volcano_Alt</t>
  </si>
  <si>
    <t>Puyehue, Cordon-Caulle, PCC complex</t>
  </si>
  <si>
    <t>Usu-shinzan, 有珠新山</t>
  </si>
  <si>
    <t>Novarupta, Katmai</t>
  </si>
  <si>
    <t>Santiaguito</t>
  </si>
  <si>
    <t>カルブコ 2015年噴火</t>
  </si>
  <si>
    <t>ケルート 2014年噴火</t>
  </si>
  <si>
    <t>プジェウエ・コルドン・カウジェ 2011年噴火</t>
  </si>
  <si>
    <t>グリムズヴォトン 2011年噴火</t>
  </si>
  <si>
    <t>DB_Smithsonian</t>
  </si>
  <si>
    <t>チャイテン 2008年噴火</t>
  </si>
  <si>
    <t>ピナツボ 1991年噴火</t>
  </si>
  <si>
    <t>エル・チチョン 1982年噴火</t>
  </si>
  <si>
    <t>有珠山 1977年噴火</t>
  </si>
  <si>
    <t>オーガスティン 1976年噴火</t>
  </si>
  <si>
    <t>アグン 1973年噴火</t>
  </si>
  <si>
    <t>ベズイミアニ 1955-1956年噴火</t>
  </si>
  <si>
    <t>北海道駒ヶ岳 1929年噴火</t>
  </si>
  <si>
    <t>桜島 大正噴火</t>
  </si>
  <si>
    <t>コリマ 1913年噴火</t>
  </si>
  <si>
    <t>ノヴァラプタ・カトマイ 1912年噴火</t>
  </si>
  <si>
    <t>サンタ・マリア 1902年噴火</t>
  </si>
  <si>
    <t>クラカタウ 1883年噴火</t>
  </si>
  <si>
    <t>Krakatoa, クラカトア</t>
  </si>
  <si>
    <t>アスキャ 1875年噴火</t>
  </si>
  <si>
    <t>ヴェスヴィウス 79AD噴火</t>
  </si>
  <si>
    <t>Vesuvio, ベスビオ</t>
  </si>
  <si>
    <t>カンパニア平原</t>
  </si>
  <si>
    <t>北海道</t>
  </si>
  <si>
    <t>九州</t>
  </si>
  <si>
    <t>アラスカ半島</t>
  </si>
  <si>
    <t>本州中部</t>
  </si>
  <si>
    <t>Data_Descrete</t>
  </si>
  <si>
    <t>Data_Continuous</t>
  </si>
  <si>
    <t>Article</t>
  </si>
  <si>
    <t>VUC_-200Y</t>
  </si>
  <si>
    <t>VUC_-10Y</t>
  </si>
  <si>
    <t>VUC_Zero</t>
  </si>
  <si>
    <t>VUC_Initial</t>
  </si>
  <si>
    <t>VUC_Multipeak</t>
  </si>
  <si>
    <t>Start_to_Peak</t>
  </si>
  <si>
    <t>After_Lava</t>
  </si>
  <si>
    <t>N/A</t>
  </si>
  <si>
    <t>VUC_Max</t>
  </si>
  <si>
    <t>Escalating</t>
  </si>
  <si>
    <t>Multipeak</t>
  </si>
  <si>
    <t>Waning</t>
  </si>
  <si>
    <t>?</t>
  </si>
  <si>
    <t>ルソン島</t>
  </si>
  <si>
    <t>アンデス</t>
  </si>
  <si>
    <t xml:space="preserve">Grímsvötn </t>
  </si>
  <si>
    <t>チリ</t>
  </si>
  <si>
    <t>インドネシア</t>
  </si>
  <si>
    <t>アイスランド</t>
  </si>
  <si>
    <t>フィリピン</t>
  </si>
  <si>
    <t>メキシコ</t>
  </si>
  <si>
    <t>日本</t>
  </si>
  <si>
    <t>アメリカ</t>
  </si>
  <si>
    <t>ロシア</t>
  </si>
  <si>
    <t>エクアドル</t>
  </si>
  <si>
    <t>グアテマラ</t>
  </si>
  <si>
    <t>イタリア</t>
  </si>
  <si>
    <t>Sakurajima, 桜島, 姶良カルデラ</t>
  </si>
  <si>
    <t>スンダ海峡</t>
  </si>
  <si>
    <t>バリ島</t>
  </si>
  <si>
    <t>カムチャッカ半島</t>
  </si>
  <si>
    <t>Volume</t>
  </si>
  <si>
    <t>Digitized</t>
  </si>
  <si>
    <t>Tephra</t>
  </si>
  <si>
    <t>Tephra, Plume</t>
  </si>
  <si>
    <t>No Data</t>
  </si>
  <si>
    <t>Tephra, PDC</t>
  </si>
  <si>
    <t>約3ヶ月かけて火口湖の水温が5℃上昇</t>
  </si>
  <si>
    <t>Hidayati et al. (2019) JVGR</t>
  </si>
  <si>
    <t>Local</t>
  </si>
  <si>
    <t>更に火口湖の水温が4℃上昇。変色はなし。</t>
  </si>
  <si>
    <t>1月初頭から傾斜計の変動開始</t>
  </si>
  <si>
    <t>12月初頭から地震活動の小さな増加</t>
  </si>
  <si>
    <t>群発地震</t>
  </si>
  <si>
    <t>地震活動が徐々に激化</t>
  </si>
  <si>
    <t>火口付近の地震計通信途絶</t>
  </si>
  <si>
    <t>火口から6kmのカメラが弾道放出物を写して通信途絶</t>
  </si>
  <si>
    <t>Maeno et al. (2017) JVGR</t>
  </si>
  <si>
    <t>笠雲の直径が200kmを超える</t>
  </si>
  <si>
    <t>ひまわり7号観測における噴煙の広がりが噴火地点から離れる</t>
  </si>
  <si>
    <t>噴火終了</t>
  </si>
  <si>
    <t>噴火開始</t>
  </si>
  <si>
    <t>Hargie et al. (2019) JVGR</t>
  </si>
  <si>
    <t>ひまわり7号が初めて高温部を検出</t>
  </si>
  <si>
    <t>連続微動の開始</t>
  </si>
  <si>
    <t>Nakashima et al. (2016) EPSL</t>
  </si>
  <si>
    <t>爆発後の15分間の静穏</t>
  </si>
  <si>
    <t>プリニー式噴火の開始</t>
  </si>
  <si>
    <t>噴煙のバックプロジェクションから想定される噴火開始時間（1分後に最初の噴煙が衛星画像に捉えられる）</t>
  </si>
  <si>
    <t>地震活動が山頂下1-4kmと浅くなる</t>
  </si>
  <si>
    <t>最初の微動</t>
  </si>
  <si>
    <t>間欠的から連続的に遷移する繰り返し地震</t>
  </si>
  <si>
    <t>ハーモニック微動</t>
  </si>
  <si>
    <t>殆どの地震計が通信途絶</t>
  </si>
  <si>
    <t>連続微動の継続</t>
  </si>
  <si>
    <t>小有珠南東麓から白い噴煙が立ち昇り噴火開始。大きな爆発音聞かれず。</t>
    <rPh sb="0" eb="1">
      <t>コ</t>
    </rPh>
    <rPh sb="1" eb="3">
      <t>ウス</t>
    </rPh>
    <rPh sb="3" eb="5">
      <t>ナントウ</t>
    </rPh>
    <rPh sb="5" eb="6">
      <t>ロク</t>
    </rPh>
    <rPh sb="8" eb="9">
      <t>シロ</t>
    </rPh>
    <rPh sb="10" eb="12">
      <t>フンエン</t>
    </rPh>
    <rPh sb="13" eb="14">
      <t>タ</t>
    </rPh>
    <rPh sb="15" eb="16">
      <t>ノボ</t>
    </rPh>
    <rPh sb="17" eb="19">
      <t>フンカ</t>
    </rPh>
    <rPh sb="19" eb="21">
      <t>カイシ</t>
    </rPh>
    <rPh sb="22" eb="23">
      <t>オオ</t>
    </rPh>
    <rPh sb="25" eb="28">
      <t>バクハツオン</t>
    </rPh>
    <rPh sb="28" eb="29">
      <t>キ</t>
    </rPh>
    <phoneticPr fontId="2"/>
  </si>
  <si>
    <t>暗灰色の噴煙が山麓より目撃される。岩塊放出は未確認。</t>
    <rPh sb="0" eb="3">
      <t>アンカイショク</t>
    </rPh>
    <rPh sb="4" eb="6">
      <t>フンエン</t>
    </rPh>
    <rPh sb="7" eb="9">
      <t>サンロク</t>
    </rPh>
    <rPh sb="11" eb="13">
      <t>モクゲキ</t>
    </rPh>
    <rPh sb="17" eb="19">
      <t>ガンカイ</t>
    </rPh>
    <rPh sb="19" eb="21">
      <t>ホウシュツ</t>
    </rPh>
    <rPh sb="22" eb="25">
      <t>ミカクニン</t>
    </rPh>
    <phoneticPr fontId="2"/>
  </si>
  <si>
    <t>噴煙柱高度3.5~4 km</t>
    <rPh sb="0" eb="2">
      <t>フンエン</t>
    </rPh>
    <rPh sb="2" eb="3">
      <t>チュウ</t>
    </rPh>
    <rPh sb="3" eb="5">
      <t>コウド</t>
    </rPh>
    <phoneticPr fontId="2"/>
  </si>
  <si>
    <t>昭和新山地区に親指大の軽石が降下</t>
    <rPh sb="0" eb="4">
      <t>ショウワシンザン</t>
    </rPh>
    <rPh sb="4" eb="6">
      <t>チク</t>
    </rPh>
    <rPh sb="7" eb="9">
      <t>オヤユビ</t>
    </rPh>
    <rPh sb="9" eb="10">
      <t>ダイ</t>
    </rPh>
    <rPh sb="11" eb="13">
      <t>カルイシ</t>
    </rPh>
    <rPh sb="14" eb="16">
      <t>コウカ</t>
    </rPh>
    <phoneticPr fontId="2"/>
  </si>
  <si>
    <t>関内地区に軽石降下</t>
    <rPh sb="0" eb="2">
      <t>カンナイ</t>
    </rPh>
    <rPh sb="2" eb="4">
      <t>チク</t>
    </rPh>
    <rPh sb="5" eb="7">
      <t>カルイシ</t>
    </rPh>
    <rPh sb="7" eb="9">
      <t>コウカ</t>
    </rPh>
    <phoneticPr fontId="2"/>
  </si>
  <si>
    <t>噴火最盛期。岩塊放出が目撃される</t>
    <rPh sb="0" eb="2">
      <t>フンカ</t>
    </rPh>
    <rPh sb="2" eb="5">
      <t>サイセイキ</t>
    </rPh>
    <rPh sb="6" eb="8">
      <t>ガンカイ</t>
    </rPh>
    <rPh sb="8" eb="10">
      <t>ホウシュツ</t>
    </rPh>
    <rPh sb="11" eb="13">
      <t>モクゲキ</t>
    </rPh>
    <phoneticPr fontId="2"/>
  </si>
  <si>
    <t>噴煙高度12km</t>
    <rPh sb="0" eb="2">
      <t>フンエン</t>
    </rPh>
    <rPh sb="2" eb="4">
      <t>コウド</t>
    </rPh>
    <phoneticPr fontId="2"/>
  </si>
  <si>
    <t>室蘭で火砕物降下</t>
    <rPh sb="0" eb="2">
      <t>ムロラン</t>
    </rPh>
    <rPh sb="3" eb="5">
      <t>カサイ</t>
    </rPh>
    <rPh sb="5" eb="6">
      <t>ブツ</t>
    </rPh>
    <rPh sb="6" eb="8">
      <t>コウカ</t>
    </rPh>
    <phoneticPr fontId="2"/>
  </si>
  <si>
    <t>噴煙柱減衰中</t>
    <rPh sb="0" eb="2">
      <t>フンエン</t>
    </rPh>
    <rPh sb="2" eb="3">
      <t>チュウ</t>
    </rPh>
    <rPh sb="3" eb="5">
      <t>ゲンスイ</t>
    </rPh>
    <rPh sb="5" eb="6">
      <t>チュウ</t>
    </rPh>
    <phoneticPr fontId="2"/>
  </si>
  <si>
    <t>噴煙柱は高度2-3km。</t>
    <rPh sb="0" eb="3">
      <t>フンエンチュウ</t>
    </rPh>
    <rPh sb="4" eb="6">
      <t>コウド</t>
    </rPh>
    <phoneticPr fontId="2"/>
  </si>
  <si>
    <t>噴煙柱がいったん途切れる</t>
    <rPh sb="0" eb="3">
      <t>フンエンチュウ</t>
    </rPh>
    <rPh sb="8" eb="10">
      <t>トギ</t>
    </rPh>
    <phoneticPr fontId="2"/>
  </si>
  <si>
    <t>新たに噴煙柱が上がる。高度2km。</t>
    <rPh sb="0" eb="1">
      <t>アラタ</t>
    </rPh>
    <rPh sb="3" eb="5">
      <t>フンエン</t>
    </rPh>
    <rPh sb="5" eb="6">
      <t>ハシラ</t>
    </rPh>
    <rPh sb="7" eb="8">
      <t>ア</t>
    </rPh>
    <rPh sb="11" eb="13">
      <t>コウド</t>
    </rPh>
    <phoneticPr fontId="2"/>
  </si>
  <si>
    <t>新井田ほか(1982)火山に詳しい</t>
    <rPh sb="0" eb="3">
      <t>ニイダ</t>
    </rPh>
    <rPh sb="11" eb="13">
      <t>カザン</t>
    </rPh>
    <rPh sb="14" eb="15">
      <t>クワ</t>
    </rPh>
    <phoneticPr fontId="2"/>
  </si>
  <si>
    <t>壮瞥地区に細粒火山灰が降下</t>
    <rPh sb="0" eb="2">
      <t>ソウベツ</t>
    </rPh>
    <rPh sb="2" eb="4">
      <t>チク</t>
    </rPh>
    <rPh sb="5" eb="7">
      <t>サイリュウ</t>
    </rPh>
    <rPh sb="7" eb="10">
      <t>カザンバイ</t>
    </rPh>
    <rPh sb="11" eb="13">
      <t>コウカ</t>
    </rPh>
    <phoneticPr fontId="2"/>
  </si>
  <si>
    <t>東湖畔にも火山灰降下</t>
    <rPh sb="0" eb="1">
      <t>ヒガシ</t>
    </rPh>
    <rPh sb="1" eb="3">
      <t>コハン</t>
    </rPh>
    <rPh sb="5" eb="8">
      <t>カザンバイ</t>
    </rPh>
    <rPh sb="8" eb="10">
      <t>コウカ</t>
    </rPh>
    <phoneticPr fontId="2"/>
  </si>
  <si>
    <t>有珠外輪山一円に降灰、視程悪化。</t>
    <rPh sb="0" eb="2">
      <t>ウス</t>
    </rPh>
    <rPh sb="2" eb="5">
      <t>ガイリンザン</t>
    </rPh>
    <rPh sb="5" eb="7">
      <t>イチエン</t>
    </rPh>
    <rPh sb="8" eb="10">
      <t>コウハイ</t>
    </rPh>
    <rPh sb="11" eb="13">
      <t>シテイ</t>
    </rPh>
    <rPh sb="13" eb="15">
      <t>アッカ</t>
    </rPh>
    <phoneticPr fontId="2"/>
  </si>
  <si>
    <t>外輪山の西側から徐々に視程回復</t>
    <rPh sb="0" eb="3">
      <t>ガイリンザン</t>
    </rPh>
    <rPh sb="4" eb="6">
      <t>ニシガワ</t>
    </rPh>
    <rPh sb="8" eb="10">
      <t>ジョジョ</t>
    </rPh>
    <rPh sb="11" eb="13">
      <t>シテイ</t>
    </rPh>
    <rPh sb="13" eb="15">
      <t>カイフク</t>
    </rPh>
    <phoneticPr fontId="2"/>
  </si>
  <si>
    <t>長和・壮瞥地区の降灰終了</t>
    <rPh sb="0" eb="2">
      <t>チョウワ</t>
    </rPh>
    <rPh sb="3" eb="5">
      <t>ソウベツ</t>
    </rPh>
    <rPh sb="5" eb="7">
      <t>チク</t>
    </rPh>
    <rPh sb="8" eb="10">
      <t>コウハイ</t>
    </rPh>
    <rPh sb="10" eb="12">
      <t>シュウリョウ</t>
    </rPh>
    <phoneticPr fontId="2"/>
  </si>
  <si>
    <t>小噴火。噴煙柱高度2km。壮瞥地区にわずかに降灰。</t>
    <rPh sb="0" eb="3">
      <t>ショウフンカ</t>
    </rPh>
    <rPh sb="4" eb="9">
      <t>フンエンチュウコウド</t>
    </rPh>
    <rPh sb="13" eb="15">
      <t>ソウベツ</t>
    </rPh>
    <rPh sb="15" eb="17">
      <t>チク</t>
    </rPh>
    <rPh sb="22" eb="24">
      <t>コウハイ</t>
    </rPh>
    <phoneticPr fontId="2"/>
  </si>
  <si>
    <t>小噴火。山麓に微量の降灰。</t>
    <rPh sb="0" eb="3">
      <t>ショウフンカ</t>
    </rPh>
    <rPh sb="4" eb="6">
      <t>サンロク</t>
    </rPh>
    <rPh sb="7" eb="9">
      <t>ビリョウ</t>
    </rPh>
    <rPh sb="10" eb="12">
      <t>コウハイ</t>
    </rPh>
    <phoneticPr fontId="2"/>
  </si>
  <si>
    <t>小噴火。微量の降灰。</t>
    <rPh sb="0" eb="3">
      <t>ショウフンカ</t>
    </rPh>
    <rPh sb="4" eb="6">
      <t>ビリョウ</t>
    </rPh>
    <rPh sb="7" eb="9">
      <t>コウハイ</t>
    </rPh>
    <phoneticPr fontId="2"/>
  </si>
  <si>
    <t>雲の中で噴火開始。次第に強度を増し、洞爺湖温泉町では火砕物が降下。</t>
    <rPh sb="0" eb="1">
      <t>クモ</t>
    </rPh>
    <rPh sb="2" eb="3">
      <t>ナカ</t>
    </rPh>
    <rPh sb="4" eb="6">
      <t>フンカ</t>
    </rPh>
    <rPh sb="6" eb="8">
      <t>カイシ</t>
    </rPh>
    <rPh sb="9" eb="11">
      <t>シダイ</t>
    </rPh>
    <rPh sb="12" eb="14">
      <t>キョウド</t>
    </rPh>
    <rPh sb="15" eb="16">
      <t>マ</t>
    </rPh>
    <rPh sb="18" eb="24">
      <t>トウヤコオンセンチョウ</t>
    </rPh>
    <rPh sb="26" eb="29">
      <t>カサイブツ</t>
    </rPh>
    <rPh sb="30" eb="32">
      <t>コウカ</t>
    </rPh>
    <phoneticPr fontId="2"/>
  </si>
  <si>
    <t>洞爺湖温泉町でこぶし大の軽石と岩片が30分間降下。その後も小型のものが散発的に降下。</t>
    <rPh sb="0" eb="6">
      <t>トウヤコオンセンチョウ</t>
    </rPh>
    <rPh sb="10" eb="11">
      <t>ダイ</t>
    </rPh>
    <rPh sb="12" eb="14">
      <t>カルイシ</t>
    </rPh>
    <rPh sb="15" eb="16">
      <t>ガン</t>
    </rPh>
    <rPh sb="16" eb="17">
      <t>ペン</t>
    </rPh>
    <rPh sb="20" eb="22">
      <t>フンカン</t>
    </rPh>
    <rPh sb="22" eb="24">
      <t>コウカ</t>
    </rPh>
    <rPh sb="27" eb="28">
      <t>ゴ</t>
    </rPh>
    <rPh sb="29" eb="31">
      <t>コガタ</t>
    </rPh>
    <rPh sb="35" eb="38">
      <t>サンパツテキ</t>
    </rPh>
    <rPh sb="39" eb="41">
      <t>コウカ</t>
    </rPh>
    <phoneticPr fontId="2"/>
  </si>
  <si>
    <t>噴煙柱高度6.6 km。泉地区では雨交じりの火山灰・軽石・岩片がはげしく降下</t>
    <rPh sb="0" eb="5">
      <t>フンエンチュウコウド</t>
    </rPh>
    <rPh sb="12" eb="13">
      <t>イズミ</t>
    </rPh>
    <rPh sb="13" eb="15">
      <t>チク</t>
    </rPh>
    <rPh sb="17" eb="18">
      <t>アメ</t>
    </rPh>
    <rPh sb="18" eb="19">
      <t>マ</t>
    </rPh>
    <rPh sb="22" eb="25">
      <t>カザンバイ</t>
    </rPh>
    <rPh sb="26" eb="28">
      <t>カルイシ</t>
    </rPh>
    <rPh sb="29" eb="30">
      <t>ガン</t>
    </rPh>
    <rPh sb="30" eb="31">
      <t>ペン</t>
    </rPh>
    <rPh sb="36" eb="38">
      <t>コウカ</t>
    </rPh>
    <phoneticPr fontId="2"/>
  </si>
  <si>
    <t>洞爺湖温泉町における軽石・岩片の降下終了</t>
    <rPh sb="0" eb="6">
      <t>トウヤコオンセンチョウ</t>
    </rPh>
    <rPh sb="10" eb="12">
      <t>カルイシ</t>
    </rPh>
    <rPh sb="13" eb="14">
      <t>ガン</t>
    </rPh>
    <rPh sb="14" eb="15">
      <t>ペン</t>
    </rPh>
    <rPh sb="16" eb="18">
      <t>コウカ</t>
    </rPh>
    <rPh sb="18" eb="20">
      <t>シュウリョウ</t>
    </rPh>
    <phoneticPr fontId="2"/>
  </si>
  <si>
    <t>小噴火</t>
    <rPh sb="0" eb="3">
      <t>ショウフンカ</t>
    </rPh>
    <phoneticPr fontId="2"/>
  </si>
  <si>
    <t>伊達方面より山頂に火柱が目撃される</t>
    <rPh sb="0" eb="2">
      <t>ダテ</t>
    </rPh>
    <rPh sb="2" eb="4">
      <t>ホウメン</t>
    </rPh>
    <rPh sb="6" eb="8">
      <t>サンチョウ</t>
    </rPh>
    <rPh sb="9" eb="11">
      <t>ヒバシラ</t>
    </rPh>
    <rPh sb="12" eb="14">
      <t>モクゲキ</t>
    </rPh>
    <phoneticPr fontId="2"/>
  </si>
  <si>
    <t>山頂付近で火山雷。次第に激しくなる。</t>
    <rPh sb="0" eb="2">
      <t>サンチョウ</t>
    </rPh>
    <rPh sb="2" eb="4">
      <t>フキン</t>
    </rPh>
    <rPh sb="5" eb="7">
      <t>カザン</t>
    </rPh>
    <rPh sb="7" eb="8">
      <t>カミナリ</t>
    </rPh>
    <rPh sb="9" eb="11">
      <t>シダイ</t>
    </rPh>
    <rPh sb="12" eb="13">
      <t>ハゲ</t>
    </rPh>
    <phoneticPr fontId="2"/>
  </si>
  <si>
    <t>降雨の中、洞爺湖温泉町に軽石降下。最大直径20cm。</t>
    <rPh sb="0" eb="2">
      <t>コウウ</t>
    </rPh>
    <rPh sb="3" eb="4">
      <t>ナカ</t>
    </rPh>
    <rPh sb="5" eb="11">
      <t>トウヤコオンセンチョウ</t>
    </rPh>
    <rPh sb="12" eb="14">
      <t>カルイシ</t>
    </rPh>
    <rPh sb="14" eb="16">
      <t>コウカ</t>
    </rPh>
    <rPh sb="17" eb="19">
      <t>サイダイ</t>
    </rPh>
    <rPh sb="19" eb="21">
      <t>チョッケイ</t>
    </rPh>
    <phoneticPr fontId="2"/>
  </si>
  <si>
    <t>激しい降雨の中、南麓から火柱が目撃される</t>
    <rPh sb="0" eb="1">
      <t>ハゲ</t>
    </rPh>
    <rPh sb="3" eb="5">
      <t>コウウ</t>
    </rPh>
    <rPh sb="6" eb="7">
      <t>ナカ</t>
    </rPh>
    <rPh sb="8" eb="10">
      <t>ナンロク</t>
    </rPh>
    <rPh sb="12" eb="14">
      <t>ヒバシラ</t>
    </rPh>
    <rPh sb="15" eb="17">
      <t>モクゲキ</t>
    </rPh>
    <phoneticPr fontId="2"/>
  </si>
  <si>
    <t>洞爺湖温泉町で軽石の降下止む</t>
    <rPh sb="0" eb="6">
      <t>トウヤコオンセンチョウ</t>
    </rPh>
    <rPh sb="7" eb="9">
      <t>カルイシ</t>
    </rPh>
    <rPh sb="10" eb="12">
      <t>コウカ</t>
    </rPh>
    <rPh sb="12" eb="13">
      <t>ヤ</t>
    </rPh>
    <phoneticPr fontId="2"/>
  </si>
  <si>
    <t>再び雷鳴。洞爺湖温泉町に軽石降下</t>
    <rPh sb="0" eb="1">
      <t>フタタ</t>
    </rPh>
    <rPh sb="2" eb="4">
      <t>ライメイ</t>
    </rPh>
    <rPh sb="5" eb="11">
      <t>トウヤコオンセンチョウ</t>
    </rPh>
    <rPh sb="12" eb="14">
      <t>カルイシ</t>
    </rPh>
    <rPh sb="14" eb="16">
      <t>コウカ</t>
    </rPh>
    <phoneticPr fontId="2"/>
  </si>
  <si>
    <t>軽石降下止む</t>
    <rPh sb="0" eb="2">
      <t>カルイシ</t>
    </rPh>
    <rPh sb="2" eb="4">
      <t>コウカ</t>
    </rPh>
    <rPh sb="4" eb="5">
      <t>ヤ</t>
    </rPh>
    <phoneticPr fontId="2"/>
  </si>
  <si>
    <t>Chaiten市街で有感の地震</t>
    <rPh sb="7" eb="9">
      <t>シガイ</t>
    </rPh>
    <rPh sb="10" eb="12">
      <t>ユウカン</t>
    </rPh>
    <rPh sb="13" eb="15">
      <t>ジシン</t>
    </rPh>
    <phoneticPr fontId="2"/>
  </si>
  <si>
    <t>15回の火山構造性地震(VT)</t>
    <rPh sb="2" eb="3">
      <t>カイ</t>
    </rPh>
    <rPh sb="4" eb="6">
      <t>カザン</t>
    </rPh>
    <rPh sb="6" eb="9">
      <t>コウゾウセイ</t>
    </rPh>
    <rPh sb="9" eb="11">
      <t>ジシン</t>
    </rPh>
    <phoneticPr fontId="2"/>
  </si>
  <si>
    <t>TODO</t>
    <phoneticPr fontId="2"/>
  </si>
  <si>
    <t>PDC, Isopach</t>
    <phoneticPr fontId="2"/>
  </si>
  <si>
    <t>Lava, Isopach</t>
    <phoneticPr fontId="2"/>
  </si>
  <si>
    <t>PDC</t>
    <phoneticPr fontId="2"/>
  </si>
  <si>
    <t>△</t>
    <phoneticPr fontId="2"/>
  </si>
  <si>
    <t>〇</t>
    <phoneticPr fontId="2"/>
  </si>
  <si>
    <t>◎</t>
    <phoneticPr fontId="2"/>
  </si>
  <si>
    <t>●</t>
    <phoneticPr fontId="2"/>
  </si>
  <si>
    <t>M3.5の地震。噴火開始？</t>
    <rPh sb="5" eb="7">
      <t>ジシン</t>
    </rPh>
    <rPh sb="8" eb="10">
      <t>フンカ</t>
    </rPh>
    <rPh sb="10" eb="12">
      <t>カイシ</t>
    </rPh>
    <phoneticPr fontId="2"/>
  </si>
  <si>
    <t>Chaiten市街で弱い降灰</t>
    <rPh sb="7" eb="9">
      <t>シガイ</t>
    </rPh>
    <rPh sb="10" eb="11">
      <t>ヨワ</t>
    </rPh>
    <rPh sb="12" eb="14">
      <t>コウハイ</t>
    </rPh>
    <phoneticPr fontId="2"/>
  </si>
  <si>
    <t>かつての溶岩ドームを割って2つの火口が形成されている様子が観察される</t>
    <rPh sb="4" eb="6">
      <t>ヨウガン</t>
    </rPh>
    <rPh sb="10" eb="11">
      <t>ワ</t>
    </rPh>
    <rPh sb="16" eb="18">
      <t>カコウ</t>
    </rPh>
    <rPh sb="19" eb="21">
      <t>ケイセイ</t>
    </rPh>
    <rPh sb="26" eb="28">
      <t>ヨウス</t>
    </rPh>
    <rPh sb="29" eb="31">
      <t>カンサツ</t>
    </rPh>
    <phoneticPr fontId="2"/>
  </si>
  <si>
    <t>プリニー式噴火の噴煙柱。最高高度20 km以上。</t>
    <rPh sb="4" eb="7">
      <t>シキフンカ</t>
    </rPh>
    <rPh sb="8" eb="10">
      <t>フンエン</t>
    </rPh>
    <rPh sb="10" eb="11">
      <t>チュウ</t>
    </rPh>
    <rPh sb="12" eb="14">
      <t>サイコウ</t>
    </rPh>
    <rPh sb="14" eb="16">
      <t>コウド</t>
    </rPh>
    <rPh sb="21" eb="23">
      <t>イジョウ</t>
    </rPh>
    <phoneticPr fontId="2"/>
  </si>
  <si>
    <t>火砕流が北と北東に流下</t>
    <rPh sb="0" eb="3">
      <t>カサイリュウ</t>
    </rPh>
    <rPh sb="4" eb="5">
      <t>キタ</t>
    </rPh>
    <rPh sb="6" eb="8">
      <t>ホクトウ</t>
    </rPh>
    <rPh sb="9" eb="11">
      <t>リュウカ</t>
    </rPh>
    <phoneticPr fontId="2"/>
  </si>
  <si>
    <t>Major and Lara (2013) Andean Geology and references therein</t>
    <phoneticPr fontId="2"/>
  </si>
  <si>
    <t>爆発的な噴煙柱、高度17-20kmが目撃</t>
    <rPh sb="0" eb="3">
      <t>バクハツテキ</t>
    </rPh>
    <rPh sb="4" eb="6">
      <t>フンエン</t>
    </rPh>
    <rPh sb="6" eb="7">
      <t>チュウ</t>
    </rPh>
    <rPh sb="8" eb="10">
      <t>コウド</t>
    </rPh>
    <rPh sb="18" eb="20">
      <t>モクゲキ</t>
    </rPh>
    <phoneticPr fontId="2"/>
  </si>
  <si>
    <t>爆発的な噴煙柱、高度30 kmと目撃されるが実際は20 km程度、時間にずれあり</t>
    <rPh sb="0" eb="3">
      <t>バクハツテキ</t>
    </rPh>
    <rPh sb="4" eb="6">
      <t>フンエン</t>
    </rPh>
    <rPh sb="6" eb="7">
      <t>チュウ</t>
    </rPh>
    <rPh sb="8" eb="10">
      <t>コウド</t>
    </rPh>
    <rPh sb="16" eb="18">
      <t>モクゲキ</t>
    </rPh>
    <rPh sb="22" eb="24">
      <t>ジッサイ</t>
    </rPh>
    <rPh sb="30" eb="32">
      <t>テイド</t>
    </rPh>
    <rPh sb="33" eb="35">
      <t>ジカン</t>
    </rPh>
    <phoneticPr fontId="2"/>
  </si>
  <si>
    <t>爆発的な噴煙柱、高度30 kmと目撃されるが実際は20 km程度、時間にずれあり</t>
    <rPh sb="0" eb="3">
      <t>バクハツテキ</t>
    </rPh>
    <rPh sb="4" eb="6">
      <t>フンエン</t>
    </rPh>
    <rPh sb="6" eb="7">
      <t>チュウ</t>
    </rPh>
    <rPh sb="8" eb="10">
      <t>コウド</t>
    </rPh>
    <rPh sb="16" eb="18">
      <t>モクゲキ</t>
    </rPh>
    <rPh sb="22" eb="24">
      <t>ジッサイ</t>
    </rPh>
    <rPh sb="30" eb="32">
      <t>テイド</t>
    </rPh>
    <phoneticPr fontId="2"/>
  </si>
  <si>
    <t>UTC</t>
    <phoneticPr fontId="2"/>
  </si>
  <si>
    <t>span</t>
    <phoneticPr fontId="2"/>
  </si>
  <si>
    <t>噴煙柱 目視推定 10-20 km</t>
    <rPh sb="0" eb="2">
      <t>フンエン</t>
    </rPh>
    <rPh sb="2" eb="3">
      <t>チュウ</t>
    </rPh>
    <rPh sb="4" eb="6">
      <t>モクシ</t>
    </rPh>
    <rPh sb="6" eb="8">
      <t>スイテイ</t>
    </rPh>
    <phoneticPr fontId="2"/>
  </si>
  <si>
    <t>継続的な火山灰の放出、高度~10 km MODIS衛星と目視から</t>
    <rPh sb="0" eb="3">
      <t>ケイゾクテキ</t>
    </rPh>
    <rPh sb="4" eb="7">
      <t>カザンバイ</t>
    </rPh>
    <rPh sb="8" eb="10">
      <t>ホウシュツ</t>
    </rPh>
    <rPh sb="11" eb="13">
      <t>コウド</t>
    </rPh>
    <rPh sb="25" eb="27">
      <t>エイセイ</t>
    </rPh>
    <rPh sb="28" eb="30">
      <t>モクシ</t>
    </rPh>
    <phoneticPr fontId="2"/>
  </si>
  <si>
    <t>爆発的噴火 GOES衛星から20-22 kmと推定</t>
    <rPh sb="0" eb="3">
      <t>バクハツテキ</t>
    </rPh>
    <rPh sb="3" eb="5">
      <t>フンカ</t>
    </rPh>
    <rPh sb="10" eb="12">
      <t>エイセイ</t>
    </rPh>
    <rPh sb="23" eb="25">
      <t>スイテイ</t>
    </rPh>
    <phoneticPr fontId="2"/>
  </si>
  <si>
    <t>細粒火山灰の放出、高度～12 km CALIPSO衛星から</t>
    <rPh sb="0" eb="2">
      <t>サイリュウ</t>
    </rPh>
    <rPh sb="2" eb="5">
      <t>カザンバイ</t>
    </rPh>
    <rPh sb="6" eb="8">
      <t>ホウシュツ</t>
    </rPh>
    <rPh sb="9" eb="11">
      <t>コウド</t>
    </rPh>
    <rPh sb="25" eb="27">
      <t>エイセイ</t>
    </rPh>
    <phoneticPr fontId="2"/>
  </si>
  <si>
    <t>噴煙柱 CALIPSO衛星から推定 7-10 km</t>
    <rPh sb="0" eb="2">
      <t>フンエン</t>
    </rPh>
    <rPh sb="2" eb="3">
      <t>チュウ</t>
    </rPh>
    <rPh sb="11" eb="13">
      <t>エイセイ</t>
    </rPh>
    <rPh sb="15" eb="17">
      <t>スイテイ</t>
    </rPh>
    <phoneticPr fontId="2"/>
  </si>
  <si>
    <t>小規模な火砕流が東麓へ流下</t>
    <rPh sb="0" eb="3">
      <t>ショウキボ</t>
    </rPh>
    <rPh sb="4" eb="7">
      <t>カサイリュウ</t>
    </rPh>
    <rPh sb="8" eb="10">
      <t>トウロク</t>
    </rPh>
    <rPh sb="11" eb="13">
      <t>リュウカ</t>
    </rPh>
    <phoneticPr fontId="2"/>
  </si>
  <si>
    <t>噴煙高度～16 km CALISPO衛星による</t>
    <rPh sb="18" eb="20">
      <t>エイセイ</t>
    </rPh>
    <phoneticPr fontId="2"/>
  </si>
  <si>
    <t>ハイブリッド型地震と長周期低周波地震の出現。溶岩噴出開始はこの頃か。</t>
    <rPh sb="6" eb="7">
      <t>ガタ</t>
    </rPh>
    <rPh sb="7" eb="9">
      <t>ジシン</t>
    </rPh>
    <rPh sb="10" eb="13">
      <t>チョウシュウキ</t>
    </rPh>
    <rPh sb="13" eb="16">
      <t>テイシュウハ</t>
    </rPh>
    <rPh sb="16" eb="18">
      <t>ジシン</t>
    </rPh>
    <rPh sb="19" eb="21">
      <t>シュツゲン</t>
    </rPh>
    <rPh sb="22" eb="24">
      <t>ヨウガン</t>
    </rPh>
    <rPh sb="24" eb="26">
      <t>フンシュツ</t>
    </rPh>
    <rPh sb="26" eb="28">
      <t>カイシ</t>
    </rPh>
    <rPh sb="31" eb="32">
      <t>コロ</t>
    </rPh>
    <phoneticPr fontId="2"/>
  </si>
  <si>
    <t>小規模な火砕流が東麓へ流下、噴煙高度8 km</t>
    <rPh sb="0" eb="3">
      <t>ショウキボ</t>
    </rPh>
    <rPh sb="4" eb="7">
      <t>カサイリュウ</t>
    </rPh>
    <rPh sb="8" eb="10">
      <t>トウロク</t>
    </rPh>
    <rPh sb="11" eb="13">
      <t>リュウカ</t>
    </rPh>
    <rPh sb="14" eb="16">
      <t>フンエン</t>
    </rPh>
    <rPh sb="16" eb="18">
      <t>コウド</t>
    </rPh>
    <phoneticPr fontId="2"/>
  </si>
  <si>
    <t>爆発的噴火活動の低下、噴煙高度は4.5km以下になって消失</t>
    <rPh sb="0" eb="3">
      <t>バクハツテキ</t>
    </rPh>
    <rPh sb="3" eb="5">
      <t>フンカ</t>
    </rPh>
    <rPh sb="5" eb="7">
      <t>カツドウ</t>
    </rPh>
    <rPh sb="8" eb="10">
      <t>テイカ</t>
    </rPh>
    <rPh sb="11" eb="13">
      <t>フンエン</t>
    </rPh>
    <rPh sb="13" eb="15">
      <t>コウド</t>
    </rPh>
    <rPh sb="21" eb="23">
      <t>イカ</t>
    </rPh>
    <rPh sb="27" eb="29">
      <t>ショウシツ</t>
    </rPh>
    <phoneticPr fontId="2"/>
  </si>
  <si>
    <t>旧溶岩ドームの北側に新溶岩ドームが目撃される</t>
    <rPh sb="0" eb="1">
      <t>キュウ</t>
    </rPh>
    <rPh sb="1" eb="3">
      <t>ヨウガン</t>
    </rPh>
    <rPh sb="7" eb="9">
      <t>キタガワ</t>
    </rPh>
    <rPh sb="10" eb="11">
      <t>シン</t>
    </rPh>
    <rPh sb="11" eb="13">
      <t>ヨウガン</t>
    </rPh>
    <rPh sb="17" eb="19">
      <t>モクゲキ</t>
    </rPh>
    <phoneticPr fontId="2"/>
  </si>
  <si>
    <t>溶岩ドームの成長</t>
    <rPh sb="0" eb="2">
      <t>ヨウガン</t>
    </rPh>
    <rPh sb="6" eb="8">
      <t>セイチョウ</t>
    </rPh>
    <phoneticPr fontId="2"/>
  </si>
  <si>
    <t>溶岩ドームのスパインの形成と内部的成長</t>
    <rPh sb="0" eb="2">
      <t>ヨウガン</t>
    </rPh>
    <rPh sb="11" eb="13">
      <t>ケイセイ</t>
    </rPh>
    <rPh sb="14" eb="17">
      <t>ナイブテキ</t>
    </rPh>
    <rPh sb="17" eb="19">
      <t>セイチョウ</t>
    </rPh>
    <phoneticPr fontId="2"/>
  </si>
  <si>
    <t>溶岩ドームの内部的成長が2010年初頭まで継続?</t>
    <rPh sb="0" eb="2">
      <t>ヨウガン</t>
    </rPh>
    <rPh sb="6" eb="9">
      <t>ナイブテキ</t>
    </rPh>
    <rPh sb="9" eb="11">
      <t>セイチョウ</t>
    </rPh>
    <rPh sb="16" eb="17">
      <t>ネン</t>
    </rPh>
    <rPh sb="17" eb="19">
      <t>ショトウ</t>
    </rPh>
    <rPh sb="21" eb="23">
      <t>ケイゾク</t>
    </rPh>
    <phoneticPr fontId="2"/>
  </si>
  <si>
    <t>start</t>
    <phoneticPr fontId="2"/>
  </si>
  <si>
    <t>climax</t>
    <phoneticPr fontId="2"/>
  </si>
  <si>
    <t>PDC</t>
  </si>
  <si>
    <t>GSJ 683</t>
  </si>
  <si>
    <t>写真が撮影される。Quizapuの山容はは現在と同じ。</t>
    <rPh sb="0" eb="2">
      <t>シャシン</t>
    </rPh>
    <rPh sb="3" eb="5">
      <t>サツエイ</t>
    </rPh>
    <rPh sb="17" eb="19">
      <t>サンヨウ</t>
    </rPh>
    <rPh sb="21" eb="23">
      <t>ゲンザイ</t>
    </rPh>
    <rPh sb="24" eb="25">
      <t>オナ</t>
    </rPh>
    <phoneticPr fontId="2"/>
  </si>
  <si>
    <t>1907年初頭から1916年まで、白色蒸気や小さな噴煙を上げている様子が時たま目撃されるようになる。</t>
    <rPh sb="4" eb="5">
      <t>ネン</t>
    </rPh>
    <rPh sb="5" eb="7">
      <t>ショトウ</t>
    </rPh>
    <rPh sb="13" eb="14">
      <t>ネン</t>
    </rPh>
    <rPh sb="17" eb="19">
      <t>ハクショク</t>
    </rPh>
    <rPh sb="19" eb="21">
      <t>ジョウキ</t>
    </rPh>
    <rPh sb="22" eb="23">
      <t>チイ</t>
    </rPh>
    <rPh sb="25" eb="27">
      <t>フンエン</t>
    </rPh>
    <rPh sb="28" eb="29">
      <t>ア</t>
    </rPh>
    <rPh sb="33" eb="35">
      <t>ヨウス</t>
    </rPh>
    <rPh sb="36" eb="37">
      <t>トキ</t>
    </rPh>
    <rPh sb="39" eb="41">
      <t>モクゲキ</t>
    </rPh>
    <phoneticPr fontId="2"/>
  </si>
  <si>
    <t>1916年から1926年まで、間欠的な活動は激化。毎日起こるようになる。</t>
    <rPh sb="4" eb="5">
      <t>ネン</t>
    </rPh>
    <rPh sb="11" eb="12">
      <t>ネン</t>
    </rPh>
    <rPh sb="15" eb="18">
      <t>カンケツテキ</t>
    </rPh>
    <rPh sb="19" eb="21">
      <t>カツドウ</t>
    </rPh>
    <rPh sb="22" eb="24">
      <t>ゲキカ</t>
    </rPh>
    <rPh sb="25" eb="27">
      <t>マイニチ</t>
    </rPh>
    <rPh sb="27" eb="28">
      <t>オ</t>
    </rPh>
    <phoneticPr fontId="2"/>
  </si>
  <si>
    <t>一連の間欠的活動の中で最大。噴煙が8分で6~7kmまで上昇。</t>
    <rPh sb="0" eb="2">
      <t>イチレン</t>
    </rPh>
    <rPh sb="3" eb="6">
      <t>カンケツテキ</t>
    </rPh>
    <rPh sb="6" eb="8">
      <t>カツドウ</t>
    </rPh>
    <rPh sb="9" eb="10">
      <t>ナカ</t>
    </rPh>
    <rPh sb="11" eb="13">
      <t>サイダイ</t>
    </rPh>
    <rPh sb="14" eb="16">
      <t>フンエン</t>
    </rPh>
    <rPh sb="18" eb="19">
      <t>フン</t>
    </rPh>
    <rPh sb="27" eb="29">
      <t>ジョウショウ</t>
    </rPh>
    <phoneticPr fontId="2"/>
  </si>
  <si>
    <t>火映が初めて目撃される</t>
    <rPh sb="0" eb="2">
      <t>カエイ</t>
    </rPh>
    <rPh sb="3" eb="4">
      <t>ハジ</t>
    </rPh>
    <rPh sb="6" eb="8">
      <t>モクゲキ</t>
    </rPh>
    <phoneticPr fontId="2"/>
  </si>
  <si>
    <t>Great Talca Earthquake (Mw 7.6) 前後に噴火活動が一次的に止まったらしい</t>
    <rPh sb="32" eb="34">
      <t>ゼンゴ</t>
    </rPh>
    <rPh sb="35" eb="37">
      <t>フンカ</t>
    </rPh>
    <rPh sb="37" eb="39">
      <t>カツドウ</t>
    </rPh>
    <rPh sb="40" eb="43">
      <t>イチジテキ</t>
    </rPh>
    <rPh sb="44" eb="45">
      <t>ト</t>
    </rPh>
    <phoneticPr fontId="2"/>
  </si>
  <si>
    <t>連続噴火状態になる。噴煙は4km程度。毎夜火映が巨大な灯台のように輝く。</t>
    <rPh sb="0" eb="2">
      <t>レンゾク</t>
    </rPh>
    <rPh sb="2" eb="4">
      <t>フンカ</t>
    </rPh>
    <rPh sb="4" eb="6">
      <t>ジョウタイ</t>
    </rPh>
    <rPh sb="10" eb="12">
      <t>フンエン</t>
    </rPh>
    <rPh sb="16" eb="18">
      <t>テイド</t>
    </rPh>
    <rPh sb="19" eb="21">
      <t>マイヨ</t>
    </rPh>
    <rPh sb="21" eb="23">
      <t>カエイ</t>
    </rPh>
    <rPh sb="24" eb="26">
      <t>キョダイ</t>
    </rPh>
    <rPh sb="27" eb="29">
      <t>トウダイ</t>
    </rPh>
    <rPh sb="33" eb="34">
      <t>カガヤ</t>
    </rPh>
    <phoneticPr fontId="2"/>
  </si>
  <si>
    <t>1929年中盤から再び噴火は間欠的になる。</t>
    <rPh sb="4" eb="5">
      <t>ネン</t>
    </rPh>
    <rPh sb="5" eb="7">
      <t>チュウバン</t>
    </rPh>
    <rPh sb="9" eb="10">
      <t>フタタ</t>
    </rPh>
    <rPh sb="11" eb="13">
      <t>フンカ</t>
    </rPh>
    <rPh sb="14" eb="17">
      <t>カンケツテキ</t>
    </rPh>
    <phoneticPr fontId="2"/>
  </si>
  <si>
    <t>Laguna Invernadaの警察官回想: 4月の初週、噴煙がいつもより大きかった</t>
    <rPh sb="17" eb="20">
      <t>ケイサツカン</t>
    </rPh>
    <rPh sb="20" eb="22">
      <t>カイソウ</t>
    </rPh>
    <rPh sb="25" eb="26">
      <t>ガツ</t>
    </rPh>
    <rPh sb="27" eb="28">
      <t>ショ</t>
    </rPh>
    <rPh sb="28" eb="29">
      <t>シュウ</t>
    </rPh>
    <rPh sb="30" eb="32">
      <t>フンエン</t>
    </rPh>
    <rPh sb="38" eb="39">
      <t>オオ</t>
    </rPh>
    <phoneticPr fontId="2"/>
  </si>
  <si>
    <t>朝、緑灰色の噴煙。牛の鳴くような鳴動を始めた。</t>
    <rPh sb="0" eb="1">
      <t>アサ</t>
    </rPh>
    <rPh sb="2" eb="3">
      <t>ミドリ</t>
    </rPh>
    <rPh sb="3" eb="4">
      <t>ハイ</t>
    </rPh>
    <rPh sb="4" eb="5">
      <t>イロ</t>
    </rPh>
    <rPh sb="6" eb="8">
      <t>フンエン</t>
    </rPh>
    <rPh sb="9" eb="10">
      <t>ウシ</t>
    </rPh>
    <rPh sb="11" eb="12">
      <t>ナ</t>
    </rPh>
    <rPh sb="16" eb="18">
      <t>メイドウ</t>
    </rPh>
    <rPh sb="19" eb="20">
      <t>ハジ</t>
    </rPh>
    <phoneticPr fontId="2"/>
  </si>
  <si>
    <t>噴煙と蒸気は規模を増し、夜間には赤い火映に照らされた</t>
    <rPh sb="0" eb="2">
      <t>フンエン</t>
    </rPh>
    <rPh sb="3" eb="5">
      <t>ジョウキ</t>
    </rPh>
    <rPh sb="6" eb="8">
      <t>キボ</t>
    </rPh>
    <rPh sb="9" eb="10">
      <t>マ</t>
    </rPh>
    <rPh sb="12" eb="14">
      <t>ヤカン</t>
    </rPh>
    <rPh sb="16" eb="17">
      <t>アカ</t>
    </rPh>
    <rPh sb="18" eb="20">
      <t>カエイ</t>
    </rPh>
    <rPh sb="21" eb="22">
      <t>テ</t>
    </rPh>
    <phoneticPr fontId="2"/>
  </si>
  <si>
    <t>巨大な水蒸気の雲。</t>
    <rPh sb="0" eb="2">
      <t>キョダイ</t>
    </rPh>
    <rPh sb="3" eb="6">
      <t>スイジョウキ</t>
    </rPh>
    <rPh sb="7" eb="8">
      <t>クモ</t>
    </rPh>
    <phoneticPr fontId="2"/>
  </si>
  <si>
    <t>Puesto El Tristan (47 km ENE)で降灰開始。</t>
    <rPh sb="30" eb="32">
      <t>コウハイ</t>
    </rPh>
    <rPh sb="32" eb="34">
      <t>カイシ</t>
    </rPh>
    <phoneticPr fontId="2"/>
  </si>
  <si>
    <t>Puesto El Tristan (47 km ENE)で砂と火山豆石が降下。</t>
    <rPh sb="30" eb="31">
      <t>スナ</t>
    </rPh>
    <rPh sb="32" eb="34">
      <t>カザン</t>
    </rPh>
    <rPh sb="34" eb="36">
      <t>マメイシ</t>
    </rPh>
    <rPh sb="37" eb="39">
      <t>コウカ</t>
    </rPh>
    <phoneticPr fontId="2"/>
  </si>
  <si>
    <t>Talca (85 km WNW)での詳細不明な計測によると噴煙高度16 km</t>
    <rPh sb="19" eb="21">
      <t>ショウサイ</t>
    </rPh>
    <rPh sb="21" eb="23">
      <t>フメイ</t>
    </rPh>
    <rPh sb="24" eb="26">
      <t>ケイソク</t>
    </rPh>
    <rPh sb="30" eb="32">
      <t>フンエン</t>
    </rPh>
    <rPh sb="32" eb="34">
      <t>コウド</t>
    </rPh>
    <phoneticPr fontId="2"/>
  </si>
  <si>
    <t>写真が撮影される。噴煙高度30 km程度。</t>
    <rPh sb="0" eb="2">
      <t>シャシン</t>
    </rPh>
    <rPh sb="3" eb="5">
      <t>サツエイ</t>
    </rPh>
    <rPh sb="9" eb="11">
      <t>フンエン</t>
    </rPh>
    <rPh sb="11" eb="13">
      <t>コウド</t>
    </rPh>
    <rPh sb="18" eb="20">
      <t>テイド</t>
    </rPh>
    <phoneticPr fontId="2"/>
  </si>
  <si>
    <t>このころプリニー式噴火の開始。水蒸気の雲は暗色に転じる。アルゼンチン側では爆発音がたびたび聴こえる。</t>
    <rPh sb="8" eb="11">
      <t>シキフンカ</t>
    </rPh>
    <rPh sb="12" eb="14">
      <t>カイシ</t>
    </rPh>
    <rPh sb="15" eb="18">
      <t>スイジョウキ</t>
    </rPh>
    <rPh sb="19" eb="20">
      <t>クモ</t>
    </rPh>
    <rPh sb="21" eb="23">
      <t>アンショク</t>
    </rPh>
    <rPh sb="24" eb="25">
      <t>テン</t>
    </rPh>
    <rPh sb="34" eb="35">
      <t>ガワ</t>
    </rPh>
    <rPh sb="37" eb="40">
      <t>バクハツオン</t>
    </rPh>
    <rPh sb="45" eb="46">
      <t>キ</t>
    </rPh>
    <phoneticPr fontId="2"/>
  </si>
  <si>
    <t>火山近傍では窓ガラスの連続震動、100km以遠ではチリ側でも間欠的な爆発音</t>
    <rPh sb="0" eb="2">
      <t>カザン</t>
    </rPh>
    <rPh sb="2" eb="4">
      <t>キンボウ</t>
    </rPh>
    <rPh sb="6" eb="7">
      <t>マド</t>
    </rPh>
    <rPh sb="11" eb="13">
      <t>レンゾク</t>
    </rPh>
    <rPh sb="13" eb="15">
      <t>シンドウ</t>
    </rPh>
    <rPh sb="21" eb="23">
      <t>イエン</t>
    </rPh>
    <rPh sb="27" eb="28">
      <t>ガワ</t>
    </rPh>
    <rPh sb="30" eb="33">
      <t>カンケツテキ</t>
    </rPh>
    <rPh sb="34" eb="37">
      <t>バクハツオン</t>
    </rPh>
    <phoneticPr fontId="2"/>
  </si>
  <si>
    <t>Santiagoで聞こえる爆発音が最高潮に達する</t>
    <rPh sb="9" eb="10">
      <t>キ</t>
    </rPh>
    <rPh sb="13" eb="16">
      <t>バクハツオン</t>
    </rPh>
    <rPh sb="17" eb="20">
      <t>サイコウチョウ</t>
    </rPh>
    <rPh sb="21" eb="22">
      <t>タッ</t>
    </rPh>
    <phoneticPr fontId="2"/>
  </si>
  <si>
    <t>夜間、噴煙は火映と絶え間ない火山雷に照らされ続ける</t>
    <rPh sb="0" eb="2">
      <t>ヤカン</t>
    </rPh>
    <rPh sb="3" eb="5">
      <t>フンエン</t>
    </rPh>
    <rPh sb="6" eb="8">
      <t>カエイ</t>
    </rPh>
    <rPh sb="9" eb="10">
      <t>タ</t>
    </rPh>
    <rPh sb="11" eb="12">
      <t>マ</t>
    </rPh>
    <rPh sb="14" eb="16">
      <t>カザン</t>
    </rPh>
    <rPh sb="16" eb="17">
      <t>ライ</t>
    </rPh>
    <rPh sb="18" eb="19">
      <t>テ</t>
    </rPh>
    <rPh sb="22" eb="23">
      <t>ツヅ</t>
    </rPh>
    <phoneticPr fontId="2"/>
  </si>
  <si>
    <t>Santiago (240 km N)で爆発音がドアや窓を間断なく揺らし続ける。地震に関する言及が少ないのは激しい空振のためか？</t>
    <rPh sb="20" eb="23">
      <t>バクハツオン</t>
    </rPh>
    <rPh sb="27" eb="28">
      <t>マド</t>
    </rPh>
    <rPh sb="29" eb="31">
      <t>カンダン</t>
    </rPh>
    <rPh sb="33" eb="34">
      <t>ユ</t>
    </rPh>
    <rPh sb="36" eb="37">
      <t>ツヅ</t>
    </rPh>
    <rPh sb="40" eb="42">
      <t>ジシン</t>
    </rPh>
    <rPh sb="43" eb="44">
      <t>カン</t>
    </rPh>
    <rPh sb="46" eb="48">
      <t>ゲンキュウ</t>
    </rPh>
    <rPh sb="49" eb="50">
      <t>スク</t>
    </rPh>
    <rPh sb="54" eb="55">
      <t>ハゲ</t>
    </rPh>
    <rPh sb="57" eb="59">
      <t>クウシン</t>
    </rPh>
    <phoneticPr fontId="2"/>
  </si>
  <si>
    <t>プリニー式噴火がこの頃終了か。間欠的な爆発音は継続。</t>
    <rPh sb="4" eb="5">
      <t>シキ</t>
    </rPh>
    <rPh sb="5" eb="7">
      <t>フンカ</t>
    </rPh>
    <rPh sb="10" eb="11">
      <t>コロ</t>
    </rPh>
    <rPh sb="11" eb="13">
      <t>シュウリョウ</t>
    </rPh>
    <rPh sb="15" eb="18">
      <t>カンケツテキ</t>
    </rPh>
    <rPh sb="19" eb="22">
      <t>バクハツオン</t>
    </rPh>
    <rPh sb="23" eb="25">
      <t>ケイゾク</t>
    </rPh>
    <phoneticPr fontId="2"/>
  </si>
  <si>
    <t>start</t>
    <phoneticPr fontId="2"/>
  </si>
  <si>
    <t>11日以降爆発音は聴こえなくなる。水蒸気爆発や小規模なスコリアの噴出が継続。</t>
    <rPh sb="2" eb="3">
      <t>ニチ</t>
    </rPh>
    <rPh sb="3" eb="5">
      <t>イコウ</t>
    </rPh>
    <rPh sb="5" eb="8">
      <t>バクハツオン</t>
    </rPh>
    <rPh sb="9" eb="10">
      <t>キ</t>
    </rPh>
    <rPh sb="17" eb="20">
      <t>スイジョウキ</t>
    </rPh>
    <rPh sb="20" eb="22">
      <t>バクハツ</t>
    </rPh>
    <rPh sb="23" eb="26">
      <t>ショウキボ</t>
    </rPh>
    <rPh sb="32" eb="34">
      <t>フンシュツ</t>
    </rPh>
    <rPh sb="35" eb="37">
      <t>ケイゾク</t>
    </rPh>
    <phoneticPr fontId="2"/>
  </si>
  <si>
    <t>チリ大学のチームがQuizapuに到達。激しい噴気活動。</t>
    <rPh sb="2" eb="4">
      <t>ダイガク</t>
    </rPh>
    <rPh sb="17" eb="19">
      <t>トウタツ</t>
    </rPh>
    <rPh sb="20" eb="21">
      <t>ハゲ</t>
    </rPh>
    <rPh sb="23" eb="25">
      <t>フンキ</t>
    </rPh>
    <rPh sb="25" eb="27">
      <t>カツドウ</t>
    </rPh>
    <phoneticPr fontId="2"/>
  </si>
  <si>
    <t>隣接するDescabezado Grandeの山腹から白煙が上がり、噴気活動が始まる。</t>
    <rPh sb="0" eb="2">
      <t>リンセツ</t>
    </rPh>
    <rPh sb="23" eb="25">
      <t>サンプク</t>
    </rPh>
    <rPh sb="27" eb="29">
      <t>ハクエン</t>
    </rPh>
    <rPh sb="30" eb="31">
      <t>ア</t>
    </rPh>
    <rPh sb="34" eb="36">
      <t>フンキ</t>
    </rPh>
    <rPh sb="36" eb="38">
      <t>カツドウ</t>
    </rPh>
    <rPh sb="39" eb="40">
      <t>ハジ</t>
    </rPh>
    <phoneticPr fontId="2"/>
  </si>
  <si>
    <t>Descabezado Grandeで水蒸気爆発が始まり、クレーターを形成。1年ほど続く。</t>
    <rPh sb="19" eb="22">
      <t>スイジョウキ</t>
    </rPh>
    <rPh sb="22" eb="24">
      <t>バクハツ</t>
    </rPh>
    <rPh sb="25" eb="26">
      <t>ハジ</t>
    </rPh>
    <rPh sb="35" eb="37">
      <t>ケイセイ</t>
    </rPh>
    <rPh sb="39" eb="40">
      <t>ネン</t>
    </rPh>
    <rPh sb="42" eb="43">
      <t>ツヅ</t>
    </rPh>
    <phoneticPr fontId="2"/>
  </si>
  <si>
    <t>1932当時よりQuizapuの噴気活動が大きく低下している様子が目撃される。</t>
    <rPh sb="4" eb="6">
      <t>トウジ</t>
    </rPh>
    <rPh sb="16" eb="18">
      <t>フンキ</t>
    </rPh>
    <rPh sb="18" eb="20">
      <t>カツドウ</t>
    </rPh>
    <rPh sb="21" eb="22">
      <t>オオ</t>
    </rPh>
    <rPh sb="24" eb="26">
      <t>テイカ</t>
    </rPh>
    <rPh sb="30" eb="32">
      <t>ヨウス</t>
    </rPh>
    <rPh sb="33" eb="35">
      <t>モクゲキ</t>
    </rPh>
    <phoneticPr fontId="2"/>
  </si>
  <si>
    <t xml:space="preserve">水蒸気爆発? </t>
    <rPh sb="0" eb="3">
      <t>スイジョウキ</t>
    </rPh>
    <rPh sb="3" eb="5">
      <t>バクハツ</t>
    </rPh>
    <phoneticPr fontId="2"/>
  </si>
  <si>
    <t>start</t>
    <phoneticPr fontId="2"/>
  </si>
  <si>
    <t>climax</t>
    <phoneticPr fontId="2"/>
  </si>
  <si>
    <t>0.11-0.13 km3 DRE</t>
    <phoneticPr fontId="2"/>
  </si>
  <si>
    <t>玄武岩質安山岩</t>
    <rPh sb="0" eb="3">
      <t>ゲンブガン</t>
    </rPh>
    <rPh sb="3" eb="4">
      <t>シツ</t>
    </rPh>
    <rPh sb="4" eb="7">
      <t>アンザンガン</t>
    </rPh>
    <phoneticPr fontId="2"/>
  </si>
  <si>
    <t>アンデス南部火山帯(SVZ)</t>
    <rPh sb="4" eb="9">
      <t>ナンブカザンタイ</t>
    </rPh>
    <phoneticPr fontId="2"/>
  </si>
  <si>
    <t>Eruption</t>
    <phoneticPr fontId="2"/>
  </si>
  <si>
    <t>Volcano</t>
    <phoneticPr fontId="2"/>
  </si>
  <si>
    <t>ColumnMax</t>
    <phoneticPr fontId="2"/>
  </si>
  <si>
    <t>20 km</t>
    <phoneticPr fontId="2"/>
  </si>
  <si>
    <t>Text_LT</t>
    <phoneticPr fontId="2"/>
  </si>
  <si>
    <t>Calbuco火山は，過去30万年間にわたって構築された成層火山体である(Selles and Moreno, 2011)。Calbuco 1火山は34万～11万年前に活動し，玄武岩質安山岩を主体とし，少量の玄武岩および安山岩からなる。Calbuco2は11万～1.4万年前に活動し，安山岩からデイサイト溶岩とそれから発生したブロックアンドアッシュフローからなる．氷河の影響を受けている。少なくとも2回の山体崩壊が完新世に発生している。1.4万年前の山体崩壊は，北～北東方向に開いた馬蹄形崩壊地形を形成した．この山体崩壊は2～3km3におよぶ岩屑なだれ堆積物を発生させ，55㎞2の領域を最大200mの厚さで覆っている。Calbuco3（1.4万年前以降先史時代）の活動はCalbuco2の崩壊カルデラ内に限られ，安山岩～玄武岩質安山岩やデイサイトの溶岩を噴出し、また火砕流をともなう。Calbuco4（歴史時代）の噴火は玄武岩質安山岩～安山岩質の塊状溶岩を噴出し，また溶岩ドームを成長させている（1893年，1911-12年，1917年）．またブロックアンドアッシュフローや火砕流，降下テフラ，ラハールも発生している。爆発的な噴火は1792年以降しばしば発生している。1893年噴火では噴煙柱高度が火口上12㎞に達する噴火が3回発生している（Petite-Breuilh, 1999）。2015年噴火以前の噴火は1960年のＭ9.5チリ地震の後の1961年に発生し，噴煙高度は12－15㎞に達した。火砕噴火のほか二つの溶岩流が噴出している。1961年噴火は3か月継続している.1972年の噴火はごく小規模である。1996年には噴気活動の活発化があった。</t>
    <phoneticPr fontId="2"/>
  </si>
  <si>
    <t>Text_ST</t>
    <phoneticPr fontId="2"/>
  </si>
  <si>
    <t>Calbuco火山では，2015年に入ってから4月21日までに147回の地震が記録されている。地震回数は噴火のひと月前から顕著に増加した。4月22日18:11(GMT)には，144回の火山構造性地震及び低周波地震が東山麓の直下で発生した。20:45には熱異常が観測された。噴火の約10分前からハイブリッド地震が発生した。</t>
    <phoneticPr fontId="2"/>
  </si>
  <si>
    <t>Text_Lapse</t>
    <phoneticPr fontId="2"/>
  </si>
  <si>
    <t>ごく短い前駆的活動ののち，21：05：55から激しい爆発的噴火が発生し約1.5時間後の22:32まで継続した（Phase1）。持続的な噴火に移行した。噴煙柱は火口上15㎞に達した。Phase 1の噴出量は約9.3×1010kg，噴出率は最大1.76×107㎏/s（Unit B）(J.E.Romero et al., 2015)と見積もられる。
23日00:20から地震活動が活発化したのち，04:08から二回目のより激しい爆発的噴火が発生した（Phase 2）。噴煙柱は火口上空15㎞以上に達した。熱赤外観測によると噴煙柱頂部の温度は－68℃であり，これは海面上18－20㎞（火口上16－18㎞）に相当する。爆発的噴火は約6時間継続した。Phase 2の噴出量は約1.8×1011kg，噴出率は最大2.19×107㎏/s（Unit C）と見積もられる(J.E.Romero et al., 2015)。23日午後以降噴煙柱高さは火口上2㎞以下で持続したが，4月30日には一時的に約4㎞に達した。
一連の噴火の総噴出量は0.11-0.13 km3 DREである。噴出物の化学組成は玄武岩質安山岩(SiO2～55重量％)である。</t>
    <phoneticPr fontId="2"/>
  </si>
  <si>
    <t>Text_Literature</t>
    <phoneticPr fontId="2"/>
  </si>
  <si>
    <t>Romero, J.E., Morgavi, D., Arzilli, F., Daga, R., Caselli, A., Reckziegel, F., Viramonte, J., Díaz-Alvarado, J., Polacci, M., Burton, M., Perugini, D., 2016. Eruption dynamics of the 22–23 April 2015 Calbuco Volcano (Southern Chile): Analyses of tephra fall deposits. J. Volcanol. Geotherm. Res. 317, 15–29. https://doi.org/10.1016/j.jvolgeores.2016.02.027
Van Eaton, A.R., Amigo, Á., Bertin, D., Mastin, L.G., Giacosa, R.E., González, J., Valderrama, O., Fontijn, K., Behnke, S.A., 2016. Volcanic lightning and plume behavior reveal evolving hazards during the April 2015 eruption of Calbuco volcano, Chile. Geophys. Res. Lett. 43, 3563–3571. https://doi.org/10.1002/2016GL068076</t>
    <phoneticPr fontId="2"/>
  </si>
  <si>
    <t>Quizapu, Cerro Azul</t>
    <phoneticPr fontId="2"/>
  </si>
  <si>
    <t>Climax_Start</t>
    <phoneticPr fontId="2"/>
  </si>
  <si>
    <t>流紋岩質</t>
    <rPh sb="0" eb="3">
      <t>リュウモンガン</t>
    </rPh>
    <rPh sb="3" eb="4">
      <t>シツ</t>
    </rPh>
    <phoneticPr fontId="2"/>
  </si>
  <si>
    <t>13.7 km</t>
    <phoneticPr fontId="2"/>
  </si>
  <si>
    <t>Puyehue Cordon-Caulle（PCC）火山群はCordillera Nevadaカルデラと成層火山のPuyehue、そして両者をつなぐ長さ9 kmのグラーベン構造に噴出した珪長質単成火山群Cordon-Caulleからなる。活動史はLara et al. (2006)に詳しく、遅くとも40万年前にはCordillera NevadaとCordon-Caulle火山が山体の形成を開始し、Puyehue火山も24万年前には存在したものとみられている。
Cordillera Nevada火山は玄武岩質安山岩からデイサイト質までのマグマ組成であり、13~7万年前のいずれかの時点でSan Pablo火砕流（&gt;15 km3）を噴出、直径8.5 kmのカルデラを形成した。カルデラ形成後も環状断層沿いに安山岩質溶岩を噴出するなどしたが、完新世に顕著な活動を行った痕跡はない。現在は後述のCordon-Caulleのグラーベン構造に取り込まれている。
Puyehue火山も同様に玄武岩質から流紋岩質まで幅広いマグマの組成レンジをもち、現在の成層火山体は山頂に直径2.4 kmのカルデラを持つ。山体はチリ海溝南部の沈み込み帯に沿って1200 kmにわたって南北に伸びる長大なLiquiñe-Ofqui断層帯(LOFZ)と重なっている。歴史記録に噴火はないが、この山頂カルデラは6.4 kaの年代が得られている流紋岩質溶岩を切っている。また北西側の山腹には直径0.6 kmの火口があり、2.2 kaより新しいと考えられている。
Cordon-Caulleはデイサイトから流紋岩質のマグマを溶岩や火砕物として噴出する火山であり、Cordillera Nevadaカルデラの形成と前後して遅くとも7万年前までには独特なグラーベン構造内部での単成火山活動を行うようになった。PCC火山群で唯一歴史記録のある噴火を引き起こしており、1921年と1960年そして2011年に規模の大きい噴火があり、いずれもサブプリニーないしプリニー式噴火に始まりデイサイト～流紋岩質の溶岩流出を経て終息している。加えて溶岩噴出はないものの、1990年に形成されたと推定されている小さな火砕丘も存在する。やや不確かではあるものの、1996~99年の干渉ペアによるInSAR解析では3 cm/y程度の沈降が観測されている(Pritchard and Simons, 2004)。</t>
    <phoneticPr fontId="2"/>
  </si>
  <si>
    <t xml:space="preserve">2011年の活動は1921年および1960年の活動と類似して(サブ)プリニー式噴火に始まり珪長質溶岩の噴出で終息したが、火砕物と溶岩双方において噴出量がやや大きかった点、溶岩が黒曜石質の形態をとっていた点、割れ目火口ではなくほぼ単一の火口で噴出が起こった点などが異なる。なお前年2月のMw 8.8 マウレ地震と同時期にCordillera Nevadaカルデラにおいて圧力源深さ~2 kmの小さな中心部の隆起と縁辺部の沈降がおきたと見られているが、Cordon-Caulleに変化はなく、熱水溜まりに関連する活動とみられる (Jay et al. 2014)。
2011年の活動に先立ち、Cordon-Caulleは隆起傾向にあった。InSAR解析によれば、2003－2005年には1 cm/y、2004-2006年では3 cm/y、そして2007-2008年には19.8 cm/yもの隆起がみられており (Fournier et al. 2010)、その頃浅い地震も起こるようになっていた(Bertin et al. 2015)。しかしながら噴火前の隆起から推定される膨張量は2011噴火の噴出量より一桁以上少なかった(Jay et al. 2014)。2011年に入ると2月には構造性、低周波、ハイブリッド型の地震が北部で起きるようになった。4月末には顕著な地震活動の高まりが起き現地住民が噴気の増加を通報したが、チリ国立地質鉱山調査所(SERNAGEOMIN)の航空調査では異常はみつからなかった。27日の時点で震源は4－6 kmの深さに集中しており、多くがハイブリッド型地震で最大マグニチュードはM3.9であった。地震活動は29日までに減少したが、5月4日と17日にはそれぞれMw3.5と4.2の地震が発生し継続した。6月1日に地震活動は再び激しくなり、2日には深さ2-5 km付近を震源に毎時60回に達した。SERNAGEOMINおよび現地当局関係者が航空調査をしたが、この時点でも顕著な異常は見られなかった。4日に入ると地震活動は毎時230回に達し、震源深さは1-4 kmと浅くなっていた。6時間でマグニチュード3以上が50回、4以上が12回と規模の大きな地震も含まれていた(Global Volcanism Program, 2011)。
</t>
    <phoneticPr fontId="2"/>
  </si>
  <si>
    <t xml:space="preserve">Cordon-Caulleのグラーベン東部にWe Pillán火口が形成され噴火が開始したのは6月4日14:30ないし14:45(18:45 UTC)頃であった。噴煙柱は15:15には10-12 kmの高度に達し(サブ)プリニー式噴火に発展した。噴煙は4日のうちに高度10.7-13.7 kmに達して東南東方向へ870 kmにわたって流され、5日も噴煙柱は高度10.7-12.2 kmを維持し側方に伸びた噴煙の全長は1778 kmに達した(VAAC Buenos Aires, 2011)。噴煙柱高度からモデリングにより推定されたこの期間の質量噴出率(MFR)はほぼ107 kg/sに達した(Bonadonna et al. 2015)。Pistolesi et al. (2015)は4日から5日にかけての24-30 hを一連の噴火のピークとし、粗粒の軽石質の噴出物からなる0.75 km3のUnit Iをこのときの噴出物として識別した。またこの間噴煙柱は噴火開始以降少なくとも5回にわたって部分的崩壊を起こし、これに伴う火砕流が主に北へ流下した。5日以降、Bonadonna et al. (2015)による推定ではMFRはその後15日までやや減少しながらも106 kg/s以上で変動しながら推移した。6日から7日にかけては風向の急激な変化があり、北北東であった6日には噴煙柱高度は5.5-9.8 km、西風であった7日には5.5-9.8 kmに低下した(VAAC Buenos Aires)。この風向変化と同期してPistolesi et al. (2015)のUnit IIおよびIIIがそれぞれ堆積したが、そのうちUnit IIにはそれまでなかった新鮮な黒曜石質の岩片が多量に含まれており、火道の状態が変化したことを示唆していた。7日以降のUnit III噴出物は降下火砕物はより細粒になる一方、噴火様式がより間欠的になり弾道放出物がみられるようになった。また前後関係は不明ながら6~11日にかけて火口西側に潜在溶岩ドームとみられる隆起が発達し、1ヶ月後の7月6日までに火口周辺の~12 km2にわたって最大200 m以上の隆起を引き起こした(Castro et al. 2016)。
溶岩は15日に観測されたTerraSAR-X衛星のレーダー画像に初めて登場し、その時点で既に1 km以上流下していた（Bertin et al. 2015）。同じ15日頃に火口における爆発的噴火のMFRは安定して106 kg/sを下回るようになったとみられ(Bonadonna et al. 2015)、また噴出物も粗粒なものを含ず近傍のみに堆積したUnit IVに転じていた(Pistolesi et al. 2015)。溶岩の時間あたり噴出量は25日頃に72.1±5.6 m3/sのピークを迎え、7月中旬に20 m3/sで下げ止まった(Bertin et al. 2015)。この溶岩は黒曜石質のブロック状溶岩であり、2012年1月時点での先端での厚さは30-40 mであった。噴出は2012年3月15日まで続いたと推測されているが、溶岩先端は2013年1月11日時点でも流動を続けていたことが観察されている(Tuffen et al. 2013)。最終的にこの2011年溶岩は30 km以上にわたる溶岩原を形成した。
2011年の一連の噴火では無斑晶質な流紋岩とデイサイトの境界付近の68-72% SiO2のマグマが噴出し、微量元素組成の範囲からも比較的均質なマグマだまりであったことが推定されている(Pistolesi et al. 2015)。またCastro et al. (2013)は鉄チタン酸化物温度計と水飽和条件からこれらのマグマが当初保存されていた深さを2.5-5.0 kmと推定した。噴出物の体積はテフラであるUnit Iが0.75 km3、Unit IIが0.21 km3、Unit III中の最も粗粒なK2層が0.05 km3であり、火砕流堆積物の総量が0.08±0.01 km3、それ以外の噴出物はそれ未満と見積もられている(Pistolesi et al. 2015)。また溶岩の総噴出量は0.5-0.8 km3であったほか(Tuffen et al. 2013; Farquharson et al. 2015)、潜在溶岩ドームとして地下浅所で隆起を引き起こしたマグマの体積も最大0.8 km3あったと見積もられている(Castro et al. 2016)。
</t>
    <phoneticPr fontId="2"/>
  </si>
  <si>
    <t xml:space="preserve">Global Volcanism Program, 2011. Report on Puyehue-Cordon Caulle (Chile). In: Sennert, S K (ed.), Weekly Volcanic Activity Report. Smithsonian Institution and US Geological Survey. 
Bertin, D., Lara, L.E., Basualto, D., Amigo, Á., Cardona, C., Franco, L., Gil, F., Lazo, J., 2015. High effusion rates of the Cordón Caulle 2011–2012 eruption (Southern Andes) and their relation with the quasi‐harmonic tremor. Geophys. Res. Lett., Prof. Pap 42, 7054–7063. https://doi.org/10.1002/2015GL064624
Bonadonna, C., Pistolesi, M., Cioni, R., Degruyter, W., Elissondo, M., Baumann, V., 2015. Dynamics of wind-affected volcanic plumes: The example of the 2011 Cordón Caulle eruption, Chile. J. Geophys. Res. [Solid Earth] 120, 2242–2261. https://doi.org/10.1002/2014JB011478
Castro, J.M., Cordonnier, B., Ian Schipper, C., Tuffen, H., Baumann, T.S., Feisel, Y., 2016. Rapid laccolith intrusion driven by explosive volcanic eruption. Nat. Commun. 7, 13585. https://doi.org/10.1038/ncomms13585
Castro, J.M., Ian Schipper, C., Mueller, S.P., Militzer, A.S., Amigo, A., Parejas, C.S., Jacob, D., 2013. Storage and eruption of near-liquidus rhyolite magma at Cordón Caulle, Chile. Bull. Volcanol. 75, 1–17. https://doi.org/10.1007/s00445-013-0702-9
Collini, E., Osores, M.S., Folch, A., Viramonte, J.G., Villarosa, G., Salmuni, G., 2013. Volcanic ash forecast during the June 2011 Cordón Caulle eruption. Nat. Hazards 66, 389–412. https://doi.org/10.1007/s11069-012-0492-y
Farquharson, J.I., James, M.R., Tuffen, H., 2015. Examining rhyolite lava flow dynamics through photo-based 3D reconstructions of the 2011–2012 lava flowfield at Cordón-Caulle, Chile. J. Volcanol. Geotherm. Res. 304, 336–348. https://doi.org/10.1016/j.jvolgeores.2015.09.004
Jay, J., Costa, F., Pritchard, M., Lara, L., Singer, B., Herrin, J., 2014. Locating magma reservoirs using InSAR and petrology before and during the 2011–2012 Cordón Caulle silicic eruption. Earth Planet. Sci. Lett. 395, 254–266. https://doi.org/10.1016/j.epsl.2014.03.046
Katsui, Y., Katz, H.R., 1967. Lateral fissure eruptions in the southern Andes of Chile. Journal of the Faculty of Science.
Lara, L.E., Moreno, H., Naranjo, J.A., Matthews, S., Pérez de Arce, C., 2006. Magmatic evolution of the Puyehue–Cordón Caulle Volcanic Complex (40° S), Southern Andean Volcanic Zone: From shield to unusual rhyolitic fissure volcanism. J. Volcanol. Geotherm. Res. 157, 343–366. https://doi.org/10.1016/j.jvolgeores.2006.04.010
Lara, L.E., Naranjo, J.A., Moreno, H., 2004. Rhyodacitic fissure eruption in Southern Andes (Cordón Caulle; 40.5°S) after the 1960 (Mw:9.5) Chilean earthquake: a structural interpretation. J. Volcanol. Geotherm. Res. 138, 127–138. https://doi.org/10.1016/j.jvolgeores.2004.06.009
Pistolesi, M., Cioni, R., Bonadonna, C., Elissondo, M., Baumann, V., Bertagnini, A., Chiari, L., Gonzales, R., Rosi, M., Francalanci, L., 2015. Complex dynamics of small-moderate volcanic events: the example of the 2011 rhyolitic Cordón Caulle eruption, Chile. Bull. Volcanol. 77. https://doi.org/10.1007/s00445-014-0898-3
Tuffen, H., James, M.R., Castro, J.M., Ian Schipper, C., 2013. Exceptional mobility of an advancing rhyolitic obsidian flow at Cordón Caulle volcano in Chile. Nat. Commun. 4. https://doi.org/10.1038/ncomms3709
</t>
    <phoneticPr fontId="2"/>
  </si>
  <si>
    <t>1.09 km3 (Tephra) + 0.5-0.8 km3 (Lava) + ~0.8 km3 (Intrusion)</t>
    <phoneticPr fontId="2"/>
  </si>
  <si>
    <t>GrímsvötnはアイスランドのEastern Volcanic Zone (EVZ)に位置する，リフトゾーンへマグマを供給している中心火山(Central Volcano)の一つである．アイスランド・ホットスポットのマントルプリュームの直上に位置しており，歴史時代を通じてほぼ10年に1回というアイスランドで最も高頻度で噴火してきた火山でもある(Gudmundsson, 2000)．NE-SW方向に延びるリフトゾーンも数多くの噴火を引き起こしており，Laki 1783年噴火が特によく知られている．山頂には直径3- 5 km，比高200 mのカルデラが3つあり，地熱活動によってそれを覆っているヴァトナ氷冠(Vatnajökull)の下に氷底湖を作り出している．この氷底カルデラ湖は，地熱活動の高まりに応じて頻繁に溢れ出しヨークルフロイプを引き起こしている(Gudmundsson et al. 2005)．カルデラ縁深さ1- 2 km付近では微小地震活動が見られ，地震波の伝播経路から地下3 km付近にマグマだまりの天井があると考えられている(Alfaro et al. 2007)．非常に高いマグマ生産率(0.01-0.11 km3/yr)があると考えられており， 恒常的なcm/yオーダーの山体隆起と噴火による急激な沈降を繰り返している(Sturkell et al. 2003; Reverso et al. 2014)．</t>
  </si>
  <si>
    <t>1996年には山頂から10 km離れた隣接するBardarbungaとGrimsvotnの間の氷底でGjálp割れ目噴火が起き，氷の中に比高400 mのハイアロクラスタイトのリッジを形成した(Gudmundsson et al. 2002)．山頂での噴火はマグマ水蒸気噴火が多く，近年はいずれも南カルデラにE- W走向で1 km程度伸びる割れ目沿いで起きている(1934, 1983, 1998, 2004年噴火)． 大規模だった2011年噴火も同様の割れ目沿いで起こったが，このような爆発的な噴火は1873年以来であった．</t>
  </si>
  <si>
    <t>2011/05/21 17:50 UTC頃に~M3.1の地震活動が始まったが，その後微動振幅にかき消されてしまった．噴火はハーモニック微動が現れたとみられる19:00 UTC頃に氷底噴火として始まったと推定されているが(Hreinsdottir et al. 2014 Supplementary materials)，まもなく200 m以上ある氷冠を破って大気中に達した．21:00 UTCの時点で噴煙柱は65,000 ft (20 km)に達した．火口は2004年噴火と同じ南カルデラ南西端であった．およそ30時間後，徐々に変動が落ち着いてきた傾斜計とGPSと同期して噴煙高度は9 km未満になった．天候が悪かった24日を挟んで噴煙高度は5 km程度になった．28日6:30 – 7:00 UTCにかけて微動は急激に衰え消滅した．30日には噴火が終わっていることが現地調査により確認された(Icelandic Met Office, 2011)．一連の噴煙は2010年のEyjafjatollajokullの噴火をうけて国際民間航空機関の要請で設置されていたイタリア市民保護局の可搬型レーダーにより80 km地点から精密観測された(Marzano et al. 2013)．噴出物の総量は0.2-0.3 km3 DRE
と推定されている(Gudmundsson et al. 2012 EGU)．</t>
  </si>
  <si>
    <t>Pinatuboは主に安山岩とデイサイト質のマグマ組成からなる火山群である．火山岩の古いK-Ar年代は1.1 Ma頃まで遡り，35 ka付近を境として先ピナツボ(Ancestral Pinatubo)と現ピナツボ(Modern Pinatubo)に分けられる (Newhall et al. 1996)．先ピナツボは溶岩流出を主体とする成層火山であったが，現ピナツボは1991年噴火のような爆発的噴火を繰り返す活動様式となっている．噴火サイクルは Inararo(&gt;35 14C kyr BP)，Sacobia (17.35 cal. kyr BP)，Pasbul (9 cal. kyr BP)，Crow Valley (5.5 kyr BP)，Maraunot(~3.9 kyr BP)，Buag(500 yr BP)が定義されている．最も大規模なものはInararo火砕流であり体積は25 km3程度である．1991カルデラの外側にはTayawanカルデラと呼ばれる陥没構造が広がっており，Newhall et al. (1996)はその形成をInararo火砕流に対比したが，14700±40 yr BPと新しい年代の湖成層が1991カルデラ壁面のTayawanカルデラ充填堆積物から見つかっておりはっきりしない．1991年までマグマ噴火の歴史記録はなかったが，先住民の伝承にBuag噴火サイクルと関連が疑われる内容がある(Rodolfo and Umbal, 2008)．</t>
  </si>
  <si>
    <t>1988-89年に3本の地熱試錐が行われたが放棄(Delfin et al. 1996)．ピナツボの100 km北東を震源として1990/7/16 Ms7.8ルソン地震．1990/8/3に北西の地熱地帯で地滑りがあり噴気活動の変化があった．局所的な有感地震は3/15ごろ開始したらしい．4/2，水蒸気爆発の10時間前に地震活動が急激に増加．</t>
  </si>
  <si>
    <t>Newhall and Punongbayan (1996)に書籍として多くの情報が纏められている．この中でHoblitt et al. (1996a)は噴火の推移をI: 3-5月の水蒸気爆発，II: 6/1-7に現れたマグマ噴火に先行する異常，III: 6/7-12の溶岩ドームの誕生と成長，IV: 6/12-14の4回のサブプリニー式噴火，V: 6/14-15のクライマックス直前の噴火活動の高まり，VI: 6/15のクライマックス，VII: 以降9月までかけて減衰した火山灰放出，VIII: 翌1992年6-10月の溶岩ドーム形成，の8つのフェーズに区分した．このうちI~IIIに起こった前駆的諸現象についてはSabit et al. (1996)が，IV~Vの火砕噴火についてはHoblitt et al. (1996b)，VIのクライマックスはKoyaguchi (1996)が， 気象衛星観測に関してはHolasek et al. (1996)が時系列に関して詳しい．1991年4月2日朝に急激に地震活動が活発になり16時頃水蒸気爆発．1.5 kmにわたって北山腹に割れ目火孔が形成される．激しい噴気は3つの火孔に収束．5/16頃から噴気に火
山灰が混じるようになり，5/27に活発化．以降消長を繰り返しながら降灰をもたらす規模の噴火活動をするようになる．6/7には溶岩ドームが形成を開始．6/12にプリニー式噴火がおき，14日までに4回の噴煙柱高度20 kmクラスの噴火を繰り返す．14日午後から台風接近により視程悪化するが，数時間おきに山体全周方向への大規模な火砕流の流下が見られた．15日13:42に激しい高周波微動と大気圧変動が始まり，噴火はクライマックス期に入る．15:40のひまわり4号は頂部の高度およそ34 km，直径400 kmの笠雲を捉えた．17:00頃からシグネチャは減衰に転じ，22:30頃に概ね終了．その後噴煙高度10 kmを超えるような非常に活発な灰噴火が1ヶ月以上継続した．Pinatubo 1991噴火は全体でおよそ5 km3 DREのマグマが噴火したと考えられている (Wolfe and Hoblitt, 1996)．降下火砕物について，Paladio-Melosantos et al. (1996)はフェーズIV-Vのプリニー式噴火を0.17 km3，クライマックス(VI)で4.5-   4.4 km3，その後のフェーズVIIは0.2 km3 (いずれもbulk)と見積もった．ただしKoyaguchi (1996)は堆積物として追跡できない微細粒子が相当量噴出していることを指摘し，2-10 km3 DREとやや大きい値を推定している．  火砕流堆積物はScott et al. (1996)が5.5±0.5 km3 (bulk)と見積もっている．噴出したマグマは玄武岩質(50-52% SiO2)，デイサイト質(64.5±0.3% SiO2)， そして両者の混合によるハイブリッドな安山岩質(59-60% SiO2)の3タイプがある(Pallister et al. 1996)．フェーズII,III,VIIIはいずれも玄武岩質のインクルージョンを含む安山岩質マグマが噴出し，IV,V,VI,VIIではデイサイト質のマグマが主に噴出した．</t>
  </si>
  <si>
    <t>5 km3 DRE</t>
  </si>
  <si>
    <t>デイサイト質</t>
  </si>
  <si>
    <t>34 km</t>
  </si>
  <si>
    <t>0.2-0.3 km3 DRE (Tephra)</t>
  </si>
  <si>
    <t>玄武岩質</t>
  </si>
  <si>
    <t>20 km</t>
  </si>
  <si>
    <t>0.39 km3 DRE</t>
  </si>
  <si>
    <t>安山岩質</t>
  </si>
  <si>
    <t>Augustineは最終氷期以降に活動を開始したとみられる成層火山である．山体は中心火道からたびたび噴出した溶岩ドームと，その崩壊物及び噴出した火砕物からなる斜面からなっている．マグマ組成は安山岩～デイサイト質であり，高い斑晶割合と流紋岩質の石基を特徴とする．僻地であるため19世紀以前は歴史記録に乏しいが，記録のある限り現在に至るまで頻繁に溶岩ドームの破壊と形成を繰り返している．1883年の噴火は山体崩壊とそれによる津波を伴う大規模なものだった．</t>
  </si>
  <si>
    <t>5年前，1971年に噴火があったが，古い文献では76年噴火以前は12年の休眠期にあったと書かれ見過ごされていることがある(e.g. Kienle and Shaw, 1979; Kamata et al. 1991)．これは地震計が1970年に島内に設置されてから最初の顕著な火山活動であった(Power and Lalla, 2010)．8/30から9/6まで激しい火山構造性地震の群発活動があった．9/3には山体東側から激しい噴気が起きている様子が目撃された．10/7 23：00 –  10/8 1:00 (AKDT: UTC-8)に火山性微動が観測され，同じ頃38 km離れた洋上の漁船が山頂の赤熱と降灰を目撃した．11/28-30と12/19-21にも以前のものより小さな群発地震活動があった．1976年噴火に対しては，先行して1975年の5/2 -6と5/27頃に火山構造性地震が群発した．5/27以降，9/14，11月末と定常的な地震活動が段階的に高まっていたが，12月に島内の複数の地震計が故障してしまったため以降は遠隔地の地震計観測による．10月の観察では噴気活動が高まっていた．</t>
  </si>
  <si>
    <t>14 km</t>
  </si>
  <si>
    <t>噴火は1976年1月22日から数日続いた最初の爆発的噴火活動，2/6に再開し1週間弱続いた2回目の爆発的噴火活動，そして2/12以降に成長した溶岩ドームの形成活動に分けられる．文献により時刻の誤植および時差の計算ミスに伴う混乱が多数あるが，本文では断りのない限りKienle and Shaw (1979)のFig. 3を信頼し，現地時刻として文献に多く登場するが現在は用いられないAST(Alaska Standard Time UTC-10)で表記する．僻地であるため目撃された現象に乏しく，遠地における地震計とインフラサウンドの観測に依っている部分が大きい．
最初の爆発的噴火活動はKienle and Shaw (1979)に詳しい．まず8時頃に短い微動，続いてインフラサウンド(可聴域未満の大気中音波)が観測された．10時頃レーダーに高度14 kmの噴煙が現れ，その後14:30にAugustineの西200 km高度9 kmを飛行していた2機のF-4E戦闘機が噴煙に突入して軽い損傷を受けた．16:19にも噴火があり，噴煙が上昇，圏界面に到達して広がる経過が撮影された．18時頃に顕著な地震活動があり，翌23日4時頃から顕著な微動，続いてインフラサウンドが観測され，噴煙高度10 kmクラスの噴火を25日まで繰り返した．25日の14時には高度10 kmを飛行中のJAL貨物機が火山灰に入り損傷している．一連の噴火は1935と1964溶岩ドームの間の新火口で発生し，これらのドームを破壊した．
2回目の爆発的噴火活動についてはReeder and Lahr (1987)に詳しい．噴火は2/6 15:44 (14:44 AKST)頃に始まったとみられ，間欠的に14日頃まで続いた．2/8が最盛期であったが噴煙柱高度は7 kmにとどまり，1回目の活動よりは弱かったとみられる (Stith et al. 1978)．2/12日に溶岩ドームが目撃されているが，その後活動は静穏化する．本格的に溶岩ドームが成長したのは4/13-18に活動が再開したときとみられ，ブロックアンドアッシュフローに特徴的な地震計シグナルが多数観測された．
1976年噴火の噴出物は0.39 km3の60-62% SiO2の安山岩質であった(Swanson and Kienle, 1988)．噴火初期のやや大きな爆発的噴火による堆積物は専ら火山灰と火砕流堆積物からなるが，一連の噴出物の上位には軽石層がありKamata et al. (1991)はこれを1/25 5時頃の噴火に対応させている．</t>
  </si>
  <si>
    <t>0.6 km3 bulk (Tephra) + 1.34 km3 (Lava)</t>
  </si>
  <si>
    <t>&gt;10km 東西両側</t>
  </si>
  <si>
    <t>1779年～1783年にかけて発生した安永噴火では，桜島の南及び北山腹から準プリニー式噴火が発生し，両山麓に溶岩流が流下したほか，桜島北東沖での噴火活動では海底下へのマグマ貫入が発生し，激しいマグマ水蒸気爆発を頻発したほか，海底の隆起により「安永諸島」が形成された．安永噴火以降噴火活動は低調で，特に19世紀間には数回のごく小規模な噴火が記録されているのみである．</t>
  </si>
  <si>
    <t>1913年7月，桜島南東麓の有村で噴出した二酸化炭素による酸欠死亡事故が発生した．1913年11月以降，桜島島内で有感地震が記録されている．12月ごろから桜島島内のほぼ全域で井戸水の異常（渇水）が認められた．
噴火直前の現象としては，1月11日午前3時ごろから火山性地震が群発しはじめた．群発地震開始から約15時間は無感地震が多いが，11日18時以降は地震の規模が大きくなったため有感地震が増加した．噴火直前（12日午前6時以降）は有感地震が減少した（宇平，1994）．噴火当日（12日）早朝には，南東山麓の脇や有村海岸の地温が上昇し，また海中に熱水が噴出した．また，井戸水の水位上昇が発生した．
噴火の1914年1月12日8時頃に桜島の複数箇所から白煙の上昇が目撃されている．</t>
  </si>
  <si>
    <t>時系列は安井ほか(2006)に詳しい．ただし桜島の東西で同時進行した活動のうち，当初風下であったことや鹿児島市から遠く記録が少ないために東側での活動推移は不明な点が多い．10時05分頃に桜島西山腹の標高350m付近から，10時10分頃に南東山腹の標高400m付近から噴火が開始した．噴火の強度は午前11時ごろから増大し，鹿児島市内でも強い空振が感じられた．プリニー式噴火～準プリニー式噴火は13日16時頃に軽石の降下が終了するまでの30時間程度継続したとみられるが，安井ほか(2007)は東側では西側より早く終了したとしている．11日14時頃には地震活動は低下したが，18時29分には桜島西沖でM7.1の地震が発生した．また19:30頃には鹿児島市沿岸に小津波が押し寄せた．溶岩の噴出は，プリニー式噴火が起こっている最中の12日午後から13日朝にかけて両火口で始まったとみられている．プリニー式噴火終了後も両側の火口群は間欠的に大きな爆発的噴火を繰り返し，溶岩の噴出も継続した．13日夜の西側では規模の大きな火砕流が発生した．17日の西側からのものは鹿児島市が真っ暗になるほどであった．21日頃の東側からの噴火では少量の軽石が大隅半島に降下した．24日頃から西側でのブルカノ式噴火活動は低調になり，
27日頃には溶岩の流出も止まったとみられる．東側での活動ははるかに長く続き，6月頃まで薩摩半島や大隅南部へ降灰をもたらすような噴火をたびたび繰り返した．溶岩はデルタを形成し海峡を埋め立て，1月29日に大隅半島に達した．噴出はその後少なくとも12月頃まで続いたとみられ，周辺地域や海底に広がった．翌1915年半ばまでは溶岩の流動が続いたが，噴出が停止した後での現象の可能性もある．安井ほか(2007)は一連の噴火を，12日10時から13日夜までの噴火最盛期のステージ1，14日から約2週間続いた両側山腹からの溶岩噴出のステージ2， その後東側のみで終年続いた弱い溶岩噴出活動をステージ3と区分した．なおステージ2および3には噴出火口における間欠的な大小の爆発的噴火活動が含まれるほか，各ステージには明瞭な休止期はない． 噴出したマグマはSiO2 59－63%の安山岩質であり，降下軽石の体積が0.6 km3 (Kobayashi et al. 1988)，西側の溶岩が0.25 km3で東側が1.09 km3 (石原ほか, 1981)と見積もられている．</t>
  </si>
  <si>
    <t>井口正人・為栗健・平林順一・中道治久，2019，マグマ貫入速度による桜島火山における噴火事象分岐論理．火山，64，33－51.
KOBAYASHI, Tetsuo, 2009. Origin of New Islets (An-ei islets) Formed During the An-ei Eruption (1779-1782) of Sakurajima Volcano, Southern Kyushu, Japan. Bull. Volcanol. Soc. Jpn. 54, 1–13.
宇平幸一，1994，大正噴火以後の桜島の活動史．験震時報  58，49－58   
安井真也, 高橋正樹, 石原和弘, 味喜大介, 2007. 桜島火山大正噴火の噴火様式とその時間変化. 火山 52, 161–186. https://doi.org/10.18940/kazan.52.3_161 
安井真也, 高橋正樹, 石原和弘, 味喜大介, 2006. 桜島火山大正噴火の記録. 日大文理自然科学研究所紀要 (Proc. Inst. Natl. Sci. , Nihon Univ. ) 41, 75–107.</t>
  </si>
  <si>
    <t>13.5 km3 DRE</t>
  </si>
  <si>
    <t>流紋岩質</t>
  </si>
  <si>
    <t>? Km</t>
  </si>
  <si>
    <t>カトマイ火山群(Katmai Volcano Cluster)はアラスカ半島の付け根に位置する火山群である．アリューシャン沈み込み帯の火山フロントに位置しており，背弧側の裾野は大規模な横ずれ断層であるBruin Bay断層帯に規制されている．火山群は西北西から東南東方向に20 kmあまりの距離に密集した噴出中心からなる．地理的にはKatmai, Trident 火山群, Mageik, Martinなどの火山体が知られているが，これらの名称は火山学上のの噴出中心とは十分に対応しない．加えてこの火山列から10 km程度北側には成層火山体のGriggsが位置している．いずれも安山岩～デイサイト質のマグマ組成を主体とした火山であり，Katmai以外の火山は1912年噴火の主体である流紋岩質マグマを噴出したことがない．</t>
  </si>
  <si>
    <t>僻地であるため，1912年以前の噴火は記録されていない．1912年以降も，確実な噴火は1953年から21年間にわたってTrident火山群で起こった間欠的なブルカノ式噴火のみである．</t>
  </si>
  <si>
    <t>爆発的噴火としては20世紀最大の噴出量(13.5 km3 DRE)の噴火であった．僻地であるため当時の記録は極めて限られているが，Hildreth and Fierstein (2012)が噴出物の観察結果を中心に噴火の背景および時系列を非常に詳細にまとめている．地震活動についてはAbe (1992)が50個の地震の時刻と規模を決定しているが，当時の地震計網の感度の限界からM5.5以下のものは十分に検知できていない．
この噴火ではNovaruptaと呼ばれるじょうご型構造の火口が新規に形成され，24時間のうちに6 km3 DREの大規模な火砕流が噴出し，溶結凝灰岩で埋め立てられた”Valley of Ten Thousand Smokes (VTTS)”を形成した．これと平行あるいはやや遅れてNovaruptaから約10 km離れた場所にあった連峰のKatmai頂部が激しい水蒸気爆発を伴いながら1000 mあまり陥没した．複数の系統のマグマが噴出したことも特徴で，噴火当初では流紋岩質(77% SiO2)だがその後デイサイト質(63 -69% SiO2)および安山岩質(58 -63% SiO2)の噴出物の割合が増加する．最終的にNovarupta火口には溶岩ドームが形成された．</t>
  </si>
  <si>
    <t>Hildreth, W., Fierstein, J., 2012. The Novarupta-Katmai Eruption of 1912: Largest Eruption of the Twentieth Century : Centennial Perspectives. U.S. Geological Survey.</t>
  </si>
  <si>
    <t>1883/5/19</t>
  </si>
  <si>
    <t>9 km3 DRE</t>
  </si>
  <si>
    <t>40 km</t>
  </si>
  <si>
    <t>Krakatauはスマトラ島とジャワ島の間，スンダ海峡にあるカルデラ火山である．スンダ海峡にはインド洋プレートの斜め沈み込みによるSumatra sliverの南東端が存在し，スマトラ島を貫くThe Great Sumatra faultがpull-apart basinを伴いながら海溝側へステップしMentawai faultに合流している．Krakatauはこのpull-apart basinの東縁に位置している．Susilohadi et al. (2009)はKrakatauの南側で南北に延びる完全に埋積された堆積盆(Krakatau Graben)を見出しており，これがカルデラ直下を通っている可能性がある．
1883年噴火前時点の旧クラカタウ島は，北からPerbuwatan (標高~120 m), Danan (445 m), そして最も大きなRakata (813 m)の連続した3つの火山体からなっていた．これらは後述の1883年噴火で破壊され，Rakataの山体の一部が滑落崖を残して残るのみである．北西にはSertung (別名Verlaten)，北東にはPanjang (別名Lang / Rakata Kecil/ Krakatau Kecil)という細長い島があり，どちらも1883噴火を生き延びた．両島は先クラカタウのカルデラ外輪山とする見方があるがはっきりしない．1883年以降PerbuwatanとDananがあった付近に新島としてAnak Krakatauが形成された．Anak Krakatauは1883カルデラ縁という重力的に不安定な場所で標高338 mにまで成長したが，2018年に山体崩壊とプリニー式噴火を起こし110 mまで低下した．
1883年噴火で旧クラカタウ島の大部分が失われてしまったため，それ以前の噴火史についての情報は極めて乏しい．Abdurrachman et al. (2018)はStehn (1929)を元に，SertungおよびPanjang島にみられるデイサイト質溶岩は先史時代の416年頃の活動によるものだとしている．1200年頃，Rakataが活発に溶岩を噴出し成長した．続いてDanan・Perbuwatanも溶岩を噴出していたようである．1680年5月には地震・雷鳴・硫黄の匂い・漂流軽石が記録されている．</t>
  </si>
  <si>
    <t>Simkin &amp; Fiske (1983)が当時の記録を時系列に詳細にまとめており，またSelf (1992)が火山学的な解釈を与えた推移図を描いている．1880/09/01に，  スンダ海峡付近で大きな地震があり，オーストラリアでも有感になった．1983年は，5月に入って噴火開始に先立って複数回の有感地震の増加があった．5/20にプリニー式噴火があり，その後噴火活動が消長しながら8月のクライマックスを迎えた．
5/19に航行中の船が煙と湯気を目撃．5/20未明から午前にかけてプリニー式噴火が起こった．以降間欠的な爆発を繰り返す．27日にクラカタウ島に上陸したSchuurmanらが噴火するPerbuwatanの写真を撮影し，それがカルデラ形成前のクラカタウ島を写した唯一の写真である．このとき山麓では30 cmの明色の軽石層を60 cmの灰色の火山灰が覆っており，それぞれデイサイト質と玄武岩質であった．それ以降の島の情報は少ない．6/24にPerbuwatanの山頂が失われているとの報告．この後大気異常現象の記録が多い．7/9にスンダ海峡を通過した船が1380 kmにわたって漂流軽石の中を航行し，その後同様の報告多数．Self (1992)は噴煙柱高度20 kmクラスの噴火があったと推測している．8/11にFerzenaarがKrakatauを調査し，部分的な地形図を描いている．このときDananが噴気を上げていたほか，島の各所から蒸気が上がっていた．8/12には島北岸で，海水準より数m高い場所に火口が形成されて3.4 kmまで噴煙が上がっているのが目撃された．8/19-22は噴火停止していたらしい．</t>
  </si>
  <si>
    <t>8/22夜に航行中の船から噴煙柱と火山雷が目撃され，翌日にかけて周辺の船に激しく砂と灰が降下した．25日には80 km NNWのTelok Betongに灰と軽石が降った．26日には100 km以上離れたBatavia(ジャカルタ)に弱い降灰があった．
8/26 13:00に100 km弱離れたジャカルタで降灰．14:00に120 km離れた船から観測された噴煙柱高度は26 kmに達し，Self (1992)はこれをClimactic Phase Iとした．15:30頃から爆発音と津波が頻発するようになる．噴火は翌27日朝にエスカレートし，Self (1992)は7:00時点での噴煙柱高度は40 km以上と推定した (Climactic Phase II)．いずれかの時点で洋上をわたった火砕流が60 km離れたLampong Bayに到達．9:58，最大の爆発音．同じ頃最大規模の津波が発生．14:30頃爆発音が聞こえなくなる．28日1:00頃降灰終了．有感地震は9月末まで続いた．クライマックスの噴出物はデイサイト質であり，非常に大まかな見積もりであるものの16 km3の大規模火砕流堆積物と12 km3の降下火砕物からなる．</t>
  </si>
  <si>
    <t>1.8-2.8 km3 bulk</t>
  </si>
  <si>
    <t>1875/1/1</t>
  </si>
  <si>
    <t>26 km</t>
  </si>
  <si>
    <t>アスキアはDyngjufjöll山地を構成する大型の玄武岩質中央火山で，重複した３つのカルデラによって切断されている．約1万年前にDyngjufjöllから発生した流紋岩マグマによる爆発的噴火がアスキアカルデラの形成にかかわったと考えられる．多数の後氷期の割れ目噴火が環状割れ目に沿って発生している．また，延長100kmにおよぶアスキア割れ目噴火群もまたアスキア火山システムに属すると考えられる．1875年噴火以前の火山活動の詳細については不明である．</t>
  </si>
  <si>
    <t>1872年4月にはアイスランド東リフトゾーン北部で激しい地震が発生した．マグニチュードは6ないし7に達した．この地震はおそらく，アイスランドリフトゾーン北端と，アイスランド北方沖に続くKolbeinsey海嶺をつなぐトランスフォーム断層であるTjprnes断層帯の変位によるものである．
1874年2月にはアスキアから激しい水蒸気の噴出が記録されている．1974年秋にはアスキアから南に50～70㎞離れたSveinagja地域に新たな地割れが発生した．12月中旬にリフトゾーン北部で地震活動が活発化し，未確認の記録ながらVatnajokull地域で噴火活動が報告されている．クリスマスから新年にかけて地震活動は地震回数および強度とも増大し，アイスランド北部で広く有感となった</t>
  </si>
  <si>
    <t>噴火は1875年1月1日及び2日に開始し，アスキア地域で噴煙の上昇がみられた．Myvatn地域においては1月3日に地震活動の強度及び頻度が最大となり，8日まで継続した．地震活動はその後2か月半にわたって断続的にみられた．
1月3日未明直前に発生し，アスキア上に火柱が目撃された．2回目の噴火はアスキア南部から発生した．黒色の火山灰や変質パラゴナイト火山灰が降下した．
2月16日には，アスキアカルデラ南東縁に開口した火口が活動しているのが目撃されている．活動がマグマ噴火か水蒸気噴火かははっきりしない．火口の西側200mの領域では35000m2の広さが約10m陥没しているのが目撃された．陥没地域の北西には小さな池が形成された．陥没領域の南部では二つ目の火口が活動しており小規模な溶岩流がみられた．三つめの小さな火口が陥没領域の西側に開口していた．
2月18日には，アスキアの南方70㎞でSveinagja割れ目噴火が開始した．割れ目噴火は延長2～5㎞の割れ目から発生した．2月25日に活動は衰退するまで，106m3の玄武岩質溶岩が噴出した．3月10日にはSveinagjaの北1.5㎞で割れ目噴火が再開した．3月23日には噴火割れ目北部で噴火活動が活発化し，40か所から溶岩噴泉が噴出した．その後，Sveinagja割れ目噴火は一時的に衰退した．
3月28日にはアスキアにおけるクライマックス噴火が開始した．3月28日21時ごろ黒煙がアスキア上に上昇した．その後3月29日3時30分アスキアから50㎞東方で，雷をともなう小規模な降灰が1時間継続．灰色細粒で粘着質の火山灰が降下した．ついで6時30分から軽石の降下がアスキアの東方の広範囲にわたって発生．激しい軽石の降下により周囲が真っ暗になった．12時ごろに軽石の降下が終了した．その後，アスキアでは小規模な爆発噴火が5日から7日の間隔を置いて発生し，4月末まで継続した．4月4日にはSveinagja割れ目噴火が再開し，11日まで断続的に噴火した．小規模な活動が7月1日及び13日に記録されている． 8月15日には広範囲において地震が感じられた．それまで休止していたSveinagja噴火割れ目は8月15日から噴火再開し，噴火割れ目南部の20か所から溶岩噴泉が噴出した．
1874年から75年にかけての火山テクトニック活動によってOskjuvatnカルデラが形成された．W.L.Wattsの観察によれば，1875年7月にはカルデラは3～4㎞2の領域で深さは120～150mであった．G.Carocの1876年の調査では，カルデラの領域は7㎞2に拡大し，深さは232mであった．今日，カルデラの領域は11㎞2で，カルデラ北側リムはカルデラ湖から50mの高さがあり，最大水深は217mである．</t>
  </si>
  <si>
    <t>Carey, R.J., Houghton, B.F., Thordarson, T., 2010. Tephra dispersal and eruption dynamics of wet and dry phases of the 1875 eruption of Askja Volcano, Iceland. Bull. Volcanol. 72, 259–278. https://doi.org/10.1007/s00445-009-0317-3  
Hartley, M.E., Thordarson, T., 2012. Formation of Öskjuvatn caldera at Askja, North Iceland: Mechanism of caldera collapse and implications for the lateral flow hypothesis. J. Volcanol. Geotherm. Res. 227–228, 85–101. https://doi.org/10.1016/j.jvolgeores.2012.02.009
Sparks, R.S.J., Wilson, L., Sigurdsson, H., 1981. The Pyroclastic Deposits of the 1875 Eruption of Askja, Iceland. Philos. Trans. R. Soc. Lond. A 299, 241–273.</t>
  </si>
  <si>
    <t>1783/6/25</t>
  </si>
  <si>
    <t>0.48 km3 DRE</t>
  </si>
  <si>
    <t>? km</t>
  </si>
  <si>
    <t>浅間山は太平洋プレートの沈み込みによる東北弧の南端と，フィリピン海プレートの沈み込みによる伊豆弧の北端の延長の交点付近に位置する大型の成層火山である．噴出物の殆どはSiO2 60%前後の安山岩質である．浅間山の活動は形成した火山体構造や噴出したマグマ組成などから，黒斑期（約13万年前～2.6万年前），仏岩期（2.6萬年前～1.3万年前）および前掛期（1.3万年前以降現在）に区分される．現在活動している前掛火山は，約1.3万年前から成長を開始した成層火山である．
前掛火山から噴出した複数の降下軽石層が知られている．そのうち，4世紀ごろに噴出したC軽石，1108年噴火（天仁噴火）の噴出物であるB軽石，1128年噴火噴出物に対比されているB ́軽石，および1783年噴火（天明噴火）の噴出物であるA軽石は比較的規模の大きな降下軽石で，準プリニー式～プリニー式噴火の噴出物である．これらの軽石層の間には，より規模の小さなブルカノ式噴火などの噴出物がみられる事から，前掛火山では数100年おきに準プリニー式～プリニー式噴火が発生し，その間に小規模な噴火活動を繰り返す時期が続いたと考えられている．</t>
  </si>
  <si>
    <t>浅間前掛火山では，B ́軽石を噴出した1128年噴火以降，1783年噴火までの間，山麓に顕著な堆積物を残す規模の噴火は記録されていない．しかし，信頼できる歴史記録が残る16世紀末以降では，1783年噴火までの間に数年～10数年おきに山頂火口からの小規模な噴火が記録されている．これらの噴火は，噴出物の特徴からブルカノ式噴火がが卓越していたと考えられる．</t>
  </si>
  <si>
    <t>1783年噴火は浅間前掛山頂火口から発生した．その噴火推移は歴史記録およびそれに対応した地質記録からまとめられている．Aramaki (1956,57)により噴火推移がまとめられたのち，田村・早川（1995）やYasui and Koyaguchi (2004)などにより再解釈が行われた．このまとめは主にこの二つの文献による．それらによると，1783年5月9日（田村・早川1995では8日）に小噴火が発生し，その後静穏状態を経て6月25日午前10時ごろやや規模の大きなブルカノ式噴火が発生した．その後小規模な噴火があるものの小康状態を経て，7月18日夜にサブプリニー式噴火が発生し，北～北西に軽石が降下した．21日ごろから断続的な噴火に推移し，27日には断続的なサブプリニー噴火が発生し，北東方向に軽石が降下した．その後31日ごろまで断続的に小～中規模の噴火が発生した．8月2日午前まで比較的
静穏な状況で推移したが，午後になって噴火が激化した．噴火規模が断続的に変化しながら，  大量の降下軽石を東南東方向に降下させた．4日夕から5日未明にかけて噴火規模は極大となり，大量の降下軽石を東南東方向に降下させた．プリニー式噴火に伴い，火口周辺には釜山火砕丘が成長し，その一部は北麓にむけて流下し鬼押出溶岩となった．同時に北麓に吾妻火砕流が数次にわたり流下した．5日朝には噴火は小康状態となった．5日午前，北麓の鬼押出溶岩の先端部から鎌原岩屑なだれが発生し，吾妻川から利根川沿いに泥流となって流下した．その後9月中旬ごろまで小規模な噴火が断続的に発生した．
6月25日のブルカノ式噴火に伴う降下物は，浅間前掛山山頂から北北西に分布するテフラ（NWN）に相当すると考えられる．北東に伸びる降下軽石（NE）は7月18日のサブプリニー式噴火の噴出物と考えられる．東南東方向に分布する天明噴出物（浅間A軽石：ESE）の大部分は，8月2日午後から開始したプリニー式噴火の産物と考えられ，その大半は4日夜から5日未明の噴火最盛期の噴出物と考えられる．東南東方向に分布する軽石の下半分と互層する細粒火山灰は，同時に北麓に流下した吾妻火砕流からの灰かぐら堆積物と解釈されている（田村・早川1995など）．鬼押出溶岩は火砕成溶岩であり，8月2日午後から開始したプリニー式噴火に伴い火口周辺に堆積した火砕物の二次流動による溶岩流と解釈されている（安井・小屋口1998など）．
1783年噴火以降，1803年まで噴火は記録されていないが，1803年以降は再び数年～数10年おきに噴火の記録がある．特に，20世紀前半には活発なブルカノ式噴火がみられた．</t>
  </si>
  <si>
    <t>1707/12/16</t>
  </si>
  <si>
    <t>0.68 km3 DRE</t>
  </si>
  <si>
    <t>15 km</t>
  </si>
  <si>
    <t>富士山は太平洋プレートとフィリピン海プレートの沈み込み帯の海溝三重点付近に位置する大型の成層火山である．噴出物の殆どはSiO2 50%前後の玄武岩質である．山元ほか(2007)のステージ区分では，星山期(100-18 ka)，富士宮期(15-   6 ka)，須走期(6 ka-現在)に活動期間が大別されている．
歴史時代は少なくとも8から11世紀に至るまでは数十年おきに噴火が起こっていた．主なものとしては，800-802年の噴火ではスコリア流出と溶岩噴出により足柄路が埋没．864  -66年には貞観噴火(1.2 km3 DRE)が起こり，北西山腹の長尾山から青木ヶ原溶岩が流出した．12世紀以降は顕著な噴火は減るものの，1435/36年と1511年にも噴火があったとみられる．その後と現在までの間には1707年の噴火しか知られていない．ただし主に山頂火口における噴気活動の消長は20世紀に至るまでたびたび起きている．</t>
  </si>
  <si>
    <t>噴火に先行して2回の巨大地震がその地域で起こった．1回目は噴火の4年前に相模湾付近で起こった元禄関東地震(M8.2)であり，その2か月後に富士山で複数回にわたって鳴動があった．2回目は噴火の49日前に南海トラフで起こった宝永地震(Mw8.7)であり，翌日富士宮付近を震源として最大余震が起こった．これ以降富士山周辺とみられる有感地震の活動が増加していった．</t>
  </si>
  <si>
    <t>宝永噴火は1707年12月16日に富士山南東斜面で発生し，翌1708年1月1日まで16日間続いた．噴火開始は12月16日10時ごろと考えられる．噴火開始時にはデイサイト質の軽石を噴出し，噴煙柱高度は15kmに達した．16日午後4時ごろには黒色スコリアの放出に変わった．噴火は12月16日の夜に入り再び激しくなり，火口から約10km離れた須走村にも直径 10cm以上の多数の火山岩塊が落下し，家屋の半数が焼失した．噴火強度は17日の午前6～7時頃にやや低下した．その後20日朝ごろまで継続した．その後，小規模な噴火を断続的に繰り返した．25日午後3時ごろから再び噴火が活発化し，27日ごろまで多量のスコリアを放出した．その後噴火活動は衰え，1708年1月1日未明の爆発を最後に一連の噴火は終了した．噴出量は0.68 km3 DREであり，うち当初の白色軽石は0.05 km3程度であった．</t>
  </si>
  <si>
    <t xml:space="preserve">Yamamoto, T., Ishizuka, Y., Takada, A., 2007. Surface and Subsurface Geology at the Southwestern Foot of Fuji volcano，Japan: New Stratigraphy and Chemical Variations of the Products, in: Fuji Volcano. Yamanashi Institute of Environmental Sciences, pp. 97–118.
報告書（1707 富士山宝永噴火）: 防災情報のページ - 内閣府 [WWW Document], n.d. URL http://www.bousai.go.jp/kyoiku/kyokun/kyoukunnokeishou/rep/1707_houei_fujisan_funka/ (accessed 3.4.20).
高田亮, 山元孝広, 石塚吉浩, 中野俊, 2016. 富士火山地質図 [WWW Document]. 産業技術総合研究所地質調査総合センター. URL https://gbank.gsj.jp/volcano/Act_Vol/fujisan/index.html (accessed 3.5.20).宮地直道・小山真人（2007）富士火山１７０７年噴火（宝永噴火）についての最近の研究成果．藤井敏嗣・中田節也編富士火山．山梨県環境科学研究所，p．339-348 </t>
  </si>
  <si>
    <t>79/8/24</t>
  </si>
  <si>
    <t>3 km3 DRE</t>
  </si>
  <si>
    <t>フォノライト質</t>
  </si>
  <si>
    <t>30 km</t>
  </si>
  <si>
    <t>Vesuviusは狭義にはSommaの馬蹄形カルデラの内側に形成された火砕丘である．両者の区別は厳密ではなく，全体をVesuvius，或いはSomma-Vesuvius Volcanic Complex(SVVC)と呼び，Photolite-Tephrite-Trachyte質のマグマを噴出する成層火山体である．マグマだまりが石灰岩からなる基盤の内部にあると考えられており，噴出物にはたびたびスカルンのゼノリスが含まれる．Vesuviusは数千年おきに爆発的噴火を繰り返しており，完新世ではOttaviano eruption (8000 yr BP)，Avellino eruption (3550 yr BP)，A.D. 79 (Pompeii pumice)，A.D. 472がある(Lirer et al. 2001)．このような噴火スタイルには，基盤岩からマグマへ供給されたCO2が影響していると考えられている (Dallai et al. 2011)．</t>
  </si>
  <si>
    <t>17年前の62年2月に，カンパニア州で広く被害を出す大きな地震があった．噴火4日前から有感地震が増加し，枯れる湧水が多発した．</t>
  </si>
  <si>
    <t>時系列はプリニウスの記述を元にしてSigurdsson et al. (1982)が，噴出物層序はCioni et al. (1992)に詳しい．マグマだまりはGuriori et al. (2005)，火道はShea et al. (2012)が考察している．
噴火は昼間に始まった．洋上のプリニウスらは1時頃，Vesuviusの方角から非常に高く立ち昇る雲を目撃した．雲はイタリアカサマツの樹木の形状をしており，樹冠に相当する頂点では枝を広げるように広がっていた．典型的なプリニー式噴火である．およそ7時間にわたってフォノライト質マグマによる白色軽石が噴出し，Cioni et al. (1992)のEC1およびEC2ユニットが降下した．夜8時頃，噴煙柱が部分的に崩壊しP1火砕流が発生した．この頃，白色軽石をつくったフォノライト質マグマが枯渇し，白色と灰色が混交した噴出物に変化する．灰色部分はtephri-phonoliticなマグマであった．岩片の割合は少なく，火道拡大はゆっくり進んでいた．
深夜～未明にかけて噴火はピークを迎え，噴煙柱高度30 km (Sigurdsson et al. 1982)，MDR 108 kg/s (Carey and Sigurdsson, 1987)に達する．白色軽石は見られなくなり，灰色軽石がこのEC3噴出物の主体となる．規模の大きなP2およびP3，少し間を置いてP4火砕流が発生し，南西のHerculaneumなどを埋め立てた．朝になり噴煙柱が完全に崩壊し，前駆的なP5に続いて大規模なP6火砕流が全周だが特に南東へ最大15 km流下しPompeiiを破壊した．P6には多量の岩片が含まれ，79AD噴火におけるMonte Sommaの陥没進行が起こったのはこのときであろうと考えられている．崩壊後もマグマ水蒸気爆発が続き，EU4  -8のユニットが堆積した．
一連の噴火では3 km3 DREのテフラが噴出した(Cioni et al. 1992)．うち軽石噴出物はPompeii pumice / pomici di Pompeiと呼ばれている．</t>
  </si>
  <si>
    <t>Carey, S., Sigurdsson, H., 1987. Temporal variations in column height and magma discharge rate during the 79 AD eruption of Vesuvius. Geological Society of America.
Cioni, R., Marianelli, P., Sbrana, A., 1992. Dynamics of the A.D. 79 eruption: stratigraphic, sedimentologic and geochemical data on the successions of the Somma-Vesuvius southern sector 2, 109–196.
Dallai, L., Cioni, R., Boschi, C., D’Oriano, C., 2011. Carbonate-derived CO2 purging magma at depth: Influence on the eruptive activity of Somma-Vesuvius, Italy. Earth Planet. Sci. Lett. 310, 84–95. https://doi.org/10.1016/j.epsl.2011.07.013
Sigurdsson, H., Cashdollar, S., Stephen R. J. Sparks, 1982. The Eruption of Vesuvius in A. D. 79: Reconstruction from Historical and Volcanological Evidence. Am. J. Archaeol. 86, 39–51. https://doi.org/10.2307/504292
Gurioli, L., Houghton, B.F., Cashman, K.V., Cioni, R., 2005. Complex changes in eruption dynamics during the 79 AD eruption of Vesuvius. Bull. Volcanol. 67, 144–159. https://doi.org/10.1007/s00445-004-0368-4
Lirer, L., Petrosino, P., Alberico, I., Postiglione, I., 2001. Long-term volcanic hazard forecasts based on Somma-Vesuvio past eruptive activity. Bull. Volcanol. 63, 45–60. https://doi.org/10.1007/s004450000121</t>
  </si>
  <si>
    <t>0.22 km3 bulk</t>
  </si>
  <si>
    <t>17-26? Km</t>
  </si>
  <si>
    <t>Keludは極めて活動的なジャワ島の安山岩質の成層火山であり、火砕噴火と溶岩ドームの形成およびその両方を主な噴火様式としている。1548年以降8回のVEI-4以上の爆発的噴火を繰り返し、うち最近の5回は1919, 1951, 1966, 1990, 2014年と近年に多い。20世紀以降の噴火ではカルデラ湖決壊によるラハールの被害が大きく、トンネルの建設により水量の削減が図られている。</t>
  </si>
  <si>
    <t>Hidayati et al. (2019)が溶岩ドームの形成に終わった2007年噴火との比較を交え、各種の前駆的な現象をまとめている。噴火に先立って、前年2013年9月頃に火口湖の湖水温度が5℃上昇するイベントがあった。地震活動は12月初頭に増加があり、1月からは傾斜計の変動も始まった。1月末には更なる湖水温度の上昇と地震活動の激化が起こった。</t>
  </si>
  <si>
    <t>Hargie, K.A., Van Eaton, A.R., Mastin, L.G., Holzworth, R.H., Ewert, J.W., Pavolonis, M., 2019. Globally detected volcanic lightning and umbrella dynamics during the 2014 eruption of Kelud, Indonesia. J. Volcanol. Geotherm. Res. 382, 81–91. https://doi.org/10.1016/j.jvolgeores.2018.10.016
Hidayati, S., Triastuty, H., Mulyana, I., Adi, S., Ishihara, K., Basuki, A., Kuswandarto, H., Priyanto, B., Solikhin, A., 2019. Differences in the seismicity preceding the 2007 and 2014 eruptions of Kelud volcano, Indonesia. J. Volcanol. Geotherm. Res. 382, 50–67. https://doi.org/10.1016/j.jvolgeores.2018.10.017
Maeno, F., Nakada, S., Yoshimoto, M., Shimano, T., Hokanishi, N., Zaennudin, A., Iguchi, M., 2017. A sequence of a plinian eruption preceded by dome destruction at Kelud volcano, Indonesia, on February 13, 2014, revealed from tephra fallout and pyroclastic density current deposits. J. Volcanol. Geotherm. Res. https://doi.org/10.1016/j.jvolgeores.2017.03.002
Nakashima, Y., Heki, K., Takeo, A., Cahyadi, M.N., Aditiya, A., Yoshizawa, K., 2016. Atmospheric resonant oscillations by the 2014 eruption of the Kelud volcano, Indonesia, observed with the ionospheric total electron contents and seismic signals. Earth Planet. Sci. Lett. 434, 112–116. https://doi.org/10.1016/j.epsl.2015.11.029</t>
  </si>
  <si>
    <t>0.3 km3 DRE (Tephra) + 0.8 km3 (Lava)</t>
  </si>
  <si>
    <t>&gt;20 km</t>
  </si>
  <si>
    <t>Chaitenはアンデス南部火山帯(SVZ)に属する火山であり、直径2.5 kmのカルデラとその内部の後カルデラ溶岩ドームにより構成されている。厚い植生・辺鄙な位置・近傍のMichinmahuida火山との混同により2008年の噴火まではその噴火史は殆ど分かっていなかったが、その後の調査により完新世の間に5回の爆発的噴火を行う当該地域で最も活動的な火山の一つであることが明らかとなった(Watt et al. 2013)。噴出物はいずれの活動も組成的に均質な無斑晶質の流紋岩であり、アンデスの火山群で最も南に位置する珪長質活動の一つである(Major and Lara, 2013)。中でも最大のものは5 kaに噴出したMic2ないしはCha2と呼ばれるテフラ(約3-4.7 km3)である(Amigo et al. 2013)。最新の噴火は17世紀とみられ、同時期に描かれた地図に現れる火山に対比される(Lara et al. 2013)。
2008年噴火の際にWicks et al. (2011)はJAXAのだいち衛星によるInSAR観測から変動源モデリングを行い、同噴火を引き起こしたマグマが近傍のMichinmahuia火山の直下から側方に移動してChaiten火山から噴火したと推定した。このダイクの更に西方延長にはMorro Vilcumを初めとする年代不詳の流紋岩質溶岩が知られており、Chaitenがそれ自身で完結しないMichinmahuia-Chaiten Volcanic Complexとしての性格がつよいことを示唆している。</t>
  </si>
  <si>
    <t>噴火の概要はMajor and Lara (2013)にまとめられている。2008年時点では、Chaitenが活動的な火山とは見なされていなかったために近傍に観測機器は設置されていなかった。最初の異変は噴火開始の僅か24時間前に8 km離れたChaitenの町で感じられた有感地震であった。</t>
  </si>
  <si>
    <t>2008年5月1日未明から有感の地震活動が始まり、2日午前1時にChaitenの街で弱い降灰が始まった。午前8時には噴煙高度20 km超のプリニー式噴火に発達するが、午後には火砕流を流下させながら一旦活動は弱まった。その3日夕、6日昼過ぎ、8日未明にもそれぞれ噴煙高度20 kmクラスのプリニー式噴火を断続的に繰り返した。8日からは特徴的なハイブリッド型地震と長周期低周波地震が捉えられるようになり、溶岩ドームの成長が始まったとみられている。12日に爆発的噴火活動はほぼ終了し、その後10月頃まで溶岩ドームがexogeneousに成長した。Endogenousな成長まで含めると、全ての活動が終息するのに2010年初頭までかかった可能性がある。一連の噴火は無斑晶質の73-76% SiO2流紋岩質マグマにより、爆発的噴火活動による噴出量は1.0 km3 (0.3 km3 DRE)、その後成長した溶岩ドーム体積は0.8 km3であった。</t>
  </si>
  <si>
    <t>Alfano, F., Bonadonna, C., Volentik, A.C.M., Connor, C.B., Watt, S.F.L., Pyle, D.M., Connor, L.J., 2011. Tephra stratigraphy and eruptive volume of the May, 2008, Chaitén eruption, Chile. Bull. Volcanol. 73, 613–630. https://doi.org/10.1007/s00445-010-0428-x
Castro, J.M., Dingwell, D.B., 2009. Rapid ascent of rhyolitic magma at Chaitén volcano, Chile. Nature 461, 780–783. https://doi.org/10.1038/nature08458
Major, J.J., Lara, L.E., 2013. Overview of Chaitén Volcano, Chile, and its 2008-2009 eruption. Andean Geology 40, 196–215. https://doi.org/10.5027/andgeoV40n2-a01
Pallister, J.S., Diefenbach, A.K., Burton, W.C., Muñoz, J., Griswold, J.P., Lara, L.E., Lowenstern, J.B., Valenzuela, C.E., 2013. The Chaitén rhyolite lava dome: Eruption sequence, lava dome volumes, rapid effusion rates and source of the rhyolite magma. Andean Geology 40, 277–294. https://doi.org/10.5027/andgeoV40n2-a06
Watt, S.F.L., Pyle, D.M., Mather, T.A., 2013. Evidence of mid- to late-Holocene explosive rhyolitic eruptions from Chaitén Volcano, Chile. Andean Geology 40, 216–226. https://doi.org/10.5027/andgeoV40n2-a02
Watt, S.F.L., Pyle, D.M., Mather, T.A., Martin, R.S., Matthews, N.E., 2009. Fallout and distribution of volcanic ash over Argentina following the May 2008 explosive eruption of Chaitén, Chile. J. Geophys. Res. [Solid Earth] 114. https://doi.org/10.1029/2008JB006219
Wicks, C., de la Llera, J.C., Lara, L.E., Lowenstern, J., 2011. The role of dyking and fault control in the rapid onset of eruption at Chaitén volcano, Chile. Nature 478, 374–377. https://doi.org/10.1038/nature10541</t>
  </si>
  <si>
    <t>4.05 km3 DRE</t>
  </si>
  <si>
    <t>安山岩質・デイサイト質</t>
  </si>
  <si>
    <t>Cerro Azul火山はアンデス南部火山帯に位置する成層火山であり、51-69% SiO2という非常に多様なマグマ組成のアグルーチネートを主な構成物としている。歴史時代に噴火は知られていない。Quizapu(キサプ; 誰も知らないの意)はCerro Azul火山の山腹に位置する火口であり、1846-47年噴火により形成され、後に1916-32年の噴火の給源ともなった。1846-47年噴火の一次記録としてはDomeikyo (1903)が本人の観察や収集した証言をまとめた。この噴火は爆発的噴火活動を殆ど伴わず、~5 km3のデイサイト質溶岩を噴出し (Hildreth and Drake, 1992)、その中には1-10%と多量の安山岩質の暗色包有物が含まれていた(Ruprecht and Bachmann, 2010; Ruprecht et al. 2012; Higgins et al. 2015)。1932年の噴火は25年にわたる小規模で間欠的な水蒸気爆発と弱いストロンボリ式噴火の後に発生した爆発的大規模噴火であり、約4 km3 DREの噴出物を放出した。</t>
  </si>
  <si>
    <t>1932年の噴火に先立って、1907年頃から間欠的な水蒸気爆発および小規模なストロンボリ式噴火を行っていた。活動は1916年頃に活発化し毎日起こるようになった。中でも1927年からは29年までは連続噴火状態で毎夜灯台のように輝いたという。活動期間の割にこれらの活動による噴出物は非常に少ない。
1932年に入って、1/25にはやや強い爆発があったとみられる。4/9朝、緑灰色の噴煙とともに鳴動が始まり、午後には噴煙と蒸気は規模を増した。夜間には再び赤い火映に照らされた。4/10午前には引き続き多量の水蒸気を噴き上げていた。</t>
  </si>
  <si>
    <t>1932年4月10日、11時過ぎに継続時間約18時間のプリニー式噴火が始まった。11:30には噴煙高度16 kmあったとみられている。13時以降風下で降灰が開始し、14時頃からは火山近傍では窓ガラスの連続振動、100 km以遠では広く爆発音が聞こえるようになる。17時以降は240 km離れたサンティアゴでも絶え間ない爆発音がドアや窓を揺らし、21-23時に最高潮を迎えた。噴火は翌11日早朝に弱まったとみられているが、爆発音は昼過ぎまで間欠的に続いた。
噴出物は序盤と終盤に苦鉄質のスコリアが噴出し、中盤の最も多量な部分はデイサイト質マグマのみから構成される複雑な過程をたどった。Higgins et al. (2015)は均質なデイサイト質のマグマだまりに安山岩質マグマが注入されるマグマ供給系を想定し、1846-47年噴火のマグマの残渣の噴出がデイサイト質マグマだまりによる大規模噴火の起因となり、終息時には安山岩質マグマの再充填が起こったと推定した。噴出量は4 km3 DREにおよび、1846-47年噴火の溶岩と合わせるとアンデスでは過去200年間で最も多量のマグマを噴出した火山ということができる。</t>
  </si>
  <si>
    <t>Calbuco_2015</t>
    <phoneticPr fontId="2"/>
  </si>
  <si>
    <t>Kelud_2014</t>
  </si>
  <si>
    <t>Pinatubo_1991</t>
  </si>
  <si>
    <t>Usu_1977</t>
  </si>
  <si>
    <t>Agung_1973</t>
  </si>
  <si>
    <t>Colima_1913</t>
  </si>
  <si>
    <t>Krakatau_1883</t>
  </si>
  <si>
    <t>Askja_1875</t>
  </si>
  <si>
    <t>Vesuvius_79</t>
  </si>
  <si>
    <t>PCC_2011</t>
    <phoneticPr fontId="2"/>
  </si>
  <si>
    <t>Grimsvotn_2011</t>
    <phoneticPr fontId="2"/>
  </si>
  <si>
    <t>Chaiten_2008</t>
    <phoneticPr fontId="2"/>
  </si>
  <si>
    <t>Bezymianny_1955</t>
  </si>
  <si>
    <t>Asama_1783</t>
  </si>
  <si>
    <t>ElChichon_1982</t>
    <phoneticPr fontId="2"/>
  </si>
  <si>
    <t>SantaMaria_1902</t>
  </si>
  <si>
    <t>Augustine_1976</t>
    <phoneticPr fontId="2"/>
  </si>
  <si>
    <t>Quizapu_1932</t>
    <phoneticPr fontId="2"/>
  </si>
  <si>
    <t>Aira_1914</t>
    <phoneticPr fontId="2"/>
  </si>
  <si>
    <t>Katmai_1912</t>
    <phoneticPr fontId="2"/>
  </si>
  <si>
    <t>Fuji_1707</t>
    <phoneticPr fontId="2"/>
  </si>
  <si>
    <t>Key</t>
    <phoneticPr fontId="2"/>
  </si>
  <si>
    <t>Komagatake_1929</t>
    <phoneticPr fontId="2"/>
  </si>
  <si>
    <t>Sakurajima, Aira</t>
    <phoneticPr fontId="2"/>
  </si>
  <si>
    <t>噴火は2月13日夜に開始した。22:45に火口から6 kmのカメラが弾道噴出物を写し通信途絶、その1分後には火口付近の地震計も通信途絶した (Hidayati et al. 2019)。同時刻にはひまわり7号が熱源を観測しているが、その後15分間は比較的静穏だったとみられる (Hargie et al. 2019)。23:02に連続微動が開始し(Nakashima et al. 2016)、23:09頃にプリニー式噴火がスタート(Hargie et al. 2019)、それから2時間半程度継続したとみられる (Maeno et al. 2017)。噴煙は西に流れ、翌日3:32には山頂を離れ噴火終了した。笠雲は少なくとも高度17 km、オーバーシュート部分は19 kmに達し、更に火山灰の一部は最高で26 kmまで達した可能性がある (Kristiansen et al. 2015)。総噴出量は0.22 km3 bulkであった (Maeno et al. 2017)。</t>
    <phoneticPr fontId="2"/>
  </si>
  <si>
    <t>Latitude</t>
    <phoneticPr fontId="2"/>
  </si>
  <si>
    <t>Longitude</t>
    <phoneticPr fontId="2"/>
  </si>
  <si>
    <t>Img_Cover</t>
    <phoneticPr fontId="2"/>
  </si>
  <si>
    <t>Img_Lapse0</t>
    <phoneticPr fontId="2"/>
  </si>
  <si>
    <t>Img_Lapse2</t>
    <phoneticPr fontId="2"/>
  </si>
  <si>
    <t>セロ・アズール 1916-1932年噴火</t>
    <phoneticPr fontId="2"/>
  </si>
  <si>
    <t>Country</t>
    <phoneticPr fontId="2"/>
  </si>
  <si>
    <t>Region</t>
    <phoneticPr fontId="2"/>
  </si>
  <si>
    <t>Composition</t>
    <phoneticPr fontId="2"/>
  </si>
  <si>
    <t>ジャワ島</t>
    <rPh sb="3" eb="4">
      <t>トウ</t>
    </rPh>
    <phoneticPr fontId="2"/>
  </si>
  <si>
    <t>アイスランド東部火山帯(EVZ)</t>
    <rPh sb="6" eb="8">
      <t>トウブ</t>
    </rPh>
    <rPh sb="8" eb="11">
      <t>カザンタイ</t>
    </rPh>
    <phoneticPr fontId="2"/>
  </si>
  <si>
    <t>アイスランド北部火山帯(NVZ)</t>
    <rPh sb="6" eb="8">
      <t>ホクブ</t>
    </rPh>
    <rPh sb="8" eb="11">
      <t>カザンタイ</t>
    </rPh>
    <phoneticPr fontId="2"/>
  </si>
  <si>
    <t>SiO2</t>
    <phoneticPr fontId="2"/>
  </si>
  <si>
    <t>Img_Cover_Capt</t>
    <phoneticPr fontId="2"/>
  </si>
  <si>
    <t>火砕噴火で生じた火砕流の一つ 1991/6/15  6:01 (Hoblitt et al. 1996)</t>
    <rPh sb="0" eb="2">
      <t>カサイ</t>
    </rPh>
    <rPh sb="2" eb="4">
      <t>フンカ</t>
    </rPh>
    <rPh sb="5" eb="6">
      <t>ショウ</t>
    </rPh>
    <rPh sb="8" eb="11">
      <t>カサイリュウ</t>
    </rPh>
    <rPh sb="12" eb="13">
      <t>ヒト</t>
    </rPh>
    <phoneticPr fontId="2"/>
  </si>
  <si>
    <t>プリニー式噴火の序盤 1932/04/10 11:30 (K. Hartmann)</t>
    <rPh sb="4" eb="7">
      <t>シキフンカ</t>
    </rPh>
    <rPh sb="8" eb="10">
      <t>ジョバン</t>
    </rPh>
    <phoneticPr fontId="2"/>
  </si>
  <si>
    <t>プリニー式噴火開始直後 鹿児島市街から</t>
    <rPh sb="4" eb="5">
      <t>シキ</t>
    </rPh>
    <rPh sb="5" eb="7">
      <t>フンカ</t>
    </rPh>
    <rPh sb="7" eb="9">
      <t>カイシ</t>
    </rPh>
    <rPh sb="9" eb="11">
      <t>チョクゴ</t>
    </rPh>
    <rPh sb="12" eb="17">
      <t>カゴシマシガイ</t>
    </rPh>
    <phoneticPr fontId="2"/>
  </si>
  <si>
    <t>Aramaki, S. (1956) The 1783 activity of Asama volcano. Part I. Japan J Geol Geogr 27:189–229.Aramaki, S. (1957) The 1783 activity of Asama volcano. Part II. Japan J Geol Geogr 28:11–33.
田村知栄子・早川由紀夫（1995）史料解読による浅間山天明三年（1783年）噴火推移の再構築．地学雑誌，104，843-864.
安井真也・小屋口剛博（1998）浅間火山1783年のプリニー式噴火における火砕丘の形成．火山，43，457-465.
Yasui M., and Koyaguchi T., 2004, Sequence and eruptive style of the 1783 eruption of Asama Volcano, central Japan: a case study of an andesitic explosive eruption 
generating fountain-fed lava flow, pumice fall, scoria flow and forming a cone. Bull Volcanol. 66, 243-262.安井真也（2015）降下火砕堆積物からみた浅間前掛火山の大規模噴火．火山，60：211-240</t>
    <phoneticPr fontId="2"/>
  </si>
  <si>
    <t>Abdurrachman, M., Widiyantoro, S., Priadi, B., Ismail, T., 2018. Geochemistry and Structure of Krakatoa Volcano in the Sunda Strait, Indonesia. Geosci. J. 8, 111. https://doi.org/10.3390/geosciences8040111
Sigurdsson, H., Carey, S., Mandeville, C., Bronto, S., 1991. Pyroclastic flows of the 1883 Krakatau eruption. Eos Trans. AGU 72, 377–377. https://doi.org/10.1029/90EO00286
Self, S., 1992. Krakatau revisited: The course of events and interpretation of the 1883 eruption. GeoJournal 28, 109–121. https://doi.org/10.1007/BF00177223
Simkin, T., Fiske, R.S., 1983. Krakatau, 1883--the volcanic eruption and its effects. Smithsonian Institution Press.
Susilohadi, S., Gaedicke, C., Djajadihardja, Y., 2009. Structures and sedimentary 
deposition in the Sunda Strait, Indonesia. Tectonophysics 467, 55–71. https://doi.org/10.1016/j.tecto.2008.12.015</t>
    <phoneticPr fontId="2"/>
  </si>
  <si>
    <t>Higgins, M.D., Voos, S., Vander Auwera, J., 2015. Magmatic processes under Quizapu volcano, Chile, identified from geochemical and textural studies. Contrib. Mineral. Petrol. 170, 51.
Hildreth, W., Drake, R.E., 1992. Volcán Quizapu, Chilean Andes. Bull. Volcanol. 54, 93–125. https://doi.org/10.1007/BF00278002
Ruprecht, P., Bachmann, O., 2010. Pre-eruptive reheating during magma mixing at Quizapu volcano and the implications for the explosiveness of silicic arc volcanoes. Geology 38, 919–922. https://doi.org/10.1130/G31110.1
Ruprecht, P., Bergantz, G.W., Cooper, K.M., Hildreth, W., 2012. The Crustal Magma Storage System of Volcán Quizapu, Chile, and the Effects of Magma Mixing on Magma Diversity. J. Petrol. 53, 801–840. https://doi.org/10.1093/petrology/egs002
VolcanoChile. Volcán Quizapu, 1932: Una de las mayores erupciones del siglo XX [WWW Document]. URL https://www.volcanochile.com/joomla30/index.php/contenidos/12-educacion/17-volcan-quizapu-1932-una-de-las-mayores-erupciones-del-siglo-xx (accessed 10.19.20). </t>
    <phoneticPr fontId="2"/>
  </si>
  <si>
    <t>Kamata, H., Johnston, D.A., Waitt, R.B., 1991. Stratigraphy, chronology, and character of the 1976 pyroclastic eruption of Augustine volcano, Alaska. Bull. Volcanol. 53, 407–419. https://doi.org/10.1007/BF00258182
Kienle, J., Shaw, G.E., 1979. Plume dynamics, thermal energy and long-distance transport of vulcanian eruption clouds from Augustine Volcano, Alaska. J. Volcanol. Geotherm. Res. 6, 139–164. https://doi.org/10.1016/0377-0273(79)90051-9
Power, J.A., Lalla, D.J., 2010. Seismic Observations of Augustine Volcano, 1970–2007, in: John A. Power, Michelle L. Coombs, Jeffrey T. Freymueller (Ed.), The 2006 Eruption of Augustine Volcano, Alaska.
Power, J.A., Nye, C.J., Coombs, M.L., Wessels, R.L., Cervelli, P.F., Dehn, J., Wallace, K.L., Freymueller, J.T., Doukas, M.P., 2006. The reawakening of Alaska’s Augustine volcano. Eos Trans. AGU 87, 373. https://doi.org/10.1029/2006EO370002Reeder, J.W., Lahr, J.C., 1987. Seismological Aspects of the 1976 Eruptions of Augustine Volcano, Alaska. U.S. Government Printing Office.
Stith, J.L., Hobbs, P.V., Radke, L.F., 1978. Airborne particle and gas measurements in the emissions from six volcanoes. J. Geophys. Res. 83, 4009. 
https://doi.org/10.1029/JC083iC08p04009
Swanson, S.E., Kienle, J., 1988. The 1986 Eruption of Mount St. Augustine: Field Test of a Hazard Evaluation. J. Geophys. Res. 93, 4500–4520. https://doi.org/10.1029/JB093iB05p04500</t>
    <phoneticPr fontId="2"/>
  </si>
  <si>
    <t>Holasek, R.E., Self, S., Woods, A.W., 1996. Satellite observations and interpretation of the 1991 Mount Pinatubo eruption plumes. J. Geophys. Res. 101, 27635–27655. https://doi.org/10.1029/96JB01179 
Newhall, C.G., Punongbayan, R., 1996. Fire and Mud: Eruptions and Lahars of Mount Pinatubo, Philippines. Philippine Institute of Volcanology and Seismology.
Scott, W.E., Hoblitt, R.P., Torres, R.C., Self, S., Martinez, M.M.L., Nillos, T., 1996. Pyroclastic flows of the June 15, 1991, climactic eruption of Mount Pinatubo. Fire and Mud: eruptions and lahars of Mount Pinatubo, Philippines 545–570.
Rodolfo, K.S., Umbal, J.V., 2008. A prehistoric lahar-dammed lake and eruption of Mount Pinatubo described in a Philippine aborigine legend. J. Volcanol. Geotherm. Res. 176, 432–437. https://doi.org/10.1016/j.jvolgeores.2008.01.030
Tanaka, S., Sugimura, T., Harada, T., Tanaka, M., 1991. Satellite Observation of 
the Diffusion of Pinatubo Volcanic Dust to the Stratosphere. Journal of the Remote Sensing Society of Japan 11, 529–537. https://doi.org/10.11440/rssj1981.11.529
Wolfe, E.W., Hoblitt, R.P., 1996. Overview of the eruptions, in: FIRE AND MUD: ERUPTIONS AND LAHARS OF MOUNT PINATUBO, PHILIPPINES</t>
    <phoneticPr fontId="2"/>
  </si>
  <si>
    <t>Alfaro, R., Brandsdóttir, B., Rowlands, D.P., White, R.S., Gudmundsson, M.T., 2007. Structure of the Grímsvötn central volcano under the Vatnajökull icecap, Iceland. Geophys. J. Int. 168, 863–876. https://doi.org/10.1111/j.1365-246X.2006.03238.x
Global Volcanism Program | Report on Grimsvotn (Iceland) — November 1998 [WWW Document], n.d. URL https://volcano.si.edu/showreport.cfm?doi=10.5479/si.GVP.BGVN199811-373010 (accessed 3.2.20).
Gumundsson, M.T., 2005. 6. Subglacial volcanic activity in Iceland, in: Caseldine, C., Russell, A., Harđardóttir, J., Knudsen, Ó. (Eds.), Developments in Quaternary Sciences. Elsevier, pp. 127–151. https://doi.org/10.1016/S1571-0866(05)80008-9
Hreinsdóttir, S., Sigmundsson, F., Roberts, M.J., Björnsson, H., Grapenthin, R., Arason, P., Árnadóttir, T., Hólmjárn, J., Geirsson, H., Bennett, R.A., Gudmundsson, M.T., Oddsson, B., Ófeigsson, B.G., Villemin, T., Jónsson, T., Sturkell, E., Höskuldsson, Á., Larsen, G., Thordarson, T., Óladóttir, B.A., 2014. Volcanic plume height correlated with magma-pressure change at Grímsvötn Volcano, Iceland. Nat. Geosci. 7, 214–218. https://doi.org/10.1038/ngeo2044
Marzano, F.S., Picciotti, E., Montopoli, M., Vulpiani, G., 2013. Inside Volcanic Clouds: Remote Sensing of Ash Plumes Using Microwave Weather Radars. Bull. Am. Meteorol. Soc. 94, 1567–1586. https://doi.org/10.1175/BAMS-D-11-00160.1
Reverso, T., Vandemeulebrouck, J., Jouanne, F., Pinel, V., Villemin, T., Sturkell, E., Bascou, P., 2014. A two-magma chamber model as a source of deformation at Grímsvötn Volcano, Iceland. J. Geophys. Res. [Solid Earth], chap. Analytical volcano deformation source models Volcano Deformation 119, 4666–4683. https://doi.org/10.1002/2013JB010569
Sturkell, E., Einarsson, P., Sigmundsson, F., Hreinsdóttir, S., Geirsson, H., 2003. 
Deformation of Grímsvötn volcano, Iceland: 1998 eruption and subsequent inflation. Geophys. Res. Lett. 30, 147. https://doi.org/10.1029/2002GL016460</t>
    <phoneticPr fontId="2"/>
  </si>
  <si>
    <t>Text_Ash</t>
    <phoneticPr fontId="2"/>
  </si>
  <si>
    <t>Text_Pfl</t>
    <phoneticPr fontId="2"/>
  </si>
  <si>
    <t>Text_Lava</t>
    <phoneticPr fontId="2"/>
  </si>
  <si>
    <t>Text_Misc</t>
    <phoneticPr fontId="2"/>
  </si>
  <si>
    <t>あり</t>
    <phoneticPr fontId="2"/>
  </si>
  <si>
    <t>山体崩壊</t>
    <rPh sb="0" eb="2">
      <t>サンタイ</t>
    </rPh>
    <rPh sb="2" eb="4">
      <t>ホウカイ</t>
    </rPh>
    <phoneticPr fontId="2"/>
  </si>
  <si>
    <t>不明</t>
    <rPh sb="0" eb="2">
      <t>フメイ</t>
    </rPh>
    <phoneticPr fontId="2"/>
  </si>
  <si>
    <t>ピーク後、オブシディアン溶岩の流出</t>
    <rPh sb="3" eb="4">
      <t>ゴ</t>
    </rPh>
    <rPh sb="12" eb="14">
      <t>ヨウガン</t>
    </rPh>
    <rPh sb="15" eb="17">
      <t>リュウシュツ</t>
    </rPh>
    <phoneticPr fontId="2"/>
  </si>
  <si>
    <t>ピーク後、溶岩ドームの形成</t>
    <rPh sb="3" eb="4">
      <t>ゴ</t>
    </rPh>
    <rPh sb="5" eb="7">
      <t>ヨウガン</t>
    </rPh>
    <rPh sb="11" eb="13">
      <t>ケイセイ</t>
    </rPh>
    <phoneticPr fontId="2"/>
  </si>
  <si>
    <t>ピーク前および噴火終息後に溶岩ドームの形成</t>
    <rPh sb="3" eb="4">
      <t>マエ</t>
    </rPh>
    <rPh sb="7" eb="9">
      <t>フンカ</t>
    </rPh>
    <rPh sb="9" eb="11">
      <t>シュウソク</t>
    </rPh>
    <rPh sb="11" eb="12">
      <t>ゴ</t>
    </rPh>
    <rPh sb="13" eb="15">
      <t>ヨウガン</t>
    </rPh>
    <rPh sb="19" eb="21">
      <t>ケイセイ</t>
    </rPh>
    <phoneticPr fontId="2"/>
  </si>
  <si>
    <t>ピーク後、溶岩の流出</t>
    <rPh sb="3" eb="4">
      <t>ゴ</t>
    </rPh>
    <rPh sb="5" eb="7">
      <t>ヨウガン</t>
    </rPh>
    <rPh sb="8" eb="10">
      <t>リュウシュツ</t>
    </rPh>
    <phoneticPr fontId="2"/>
  </si>
  <si>
    <t>Katmai_1912</t>
  </si>
  <si>
    <t>PCC_2011</t>
  </si>
  <si>
    <t>ElChichon_1982</t>
  </si>
  <si>
    <t>Quizapu_1932</t>
  </si>
  <si>
    <t>Calbuco_2015</t>
  </si>
  <si>
    <t>Augustine_1976</t>
  </si>
  <si>
    <t>Grimsvotn_2011</t>
  </si>
  <si>
    <t>Fuji_1707</t>
  </si>
  <si>
    <t>Aira_1914</t>
  </si>
  <si>
    <t>Chaiten_2008</t>
  </si>
  <si>
    <t>GJSON_Tephra</t>
    <phoneticPr fontId="2"/>
  </si>
  <si>
    <t>GJSON_Pfl</t>
    <phoneticPr fontId="2"/>
  </si>
  <si>
    <t>GJSON_Lava</t>
    <phoneticPr fontId="2"/>
  </si>
  <si>
    <t>Quizapu_1932_Tephra.geojson</t>
    <phoneticPr fontId="2"/>
  </si>
  <si>
    <t>Aira_1914_Lava.geojson</t>
  </si>
  <si>
    <t>Aira_1914_Tephra.geojson</t>
  </si>
  <si>
    <t>Augustine_1976_Pfl.geojson</t>
  </si>
  <si>
    <t>Calbuco_2015_Tephra.geojson</t>
  </si>
  <si>
    <t>Chaiten_2008_Tephra.geojson</t>
  </si>
  <si>
    <t>Kelud_2014_Tephra.geojson</t>
  </si>
  <si>
    <t>PCC_2011_Tephra.geojson</t>
    <phoneticPr fontId="2"/>
  </si>
  <si>
    <t>Pinatubo_1991_Pfl.geojson</t>
  </si>
  <si>
    <t>Pinatubo_1991_Tephra.geojson</t>
    <phoneticPr fontId="2"/>
  </si>
  <si>
    <t>Krakatau_1883_Tephra.geojson</t>
    <phoneticPr fontId="2"/>
  </si>
  <si>
    <t>Krakatau_1883_Pfl.geojson</t>
    <phoneticPr fontId="2"/>
  </si>
  <si>
    <t>Puyehue-2011_cover.jpg</t>
    <phoneticPr fontId="2"/>
  </si>
  <si>
    <t>Pinatubo_1991_cover.jpg</t>
    <phoneticPr fontId="2"/>
  </si>
  <si>
    <t>Puyehue-2011_lapse0.jpg</t>
    <phoneticPr fontId="2"/>
  </si>
  <si>
    <t>Quizapu_1932_cover.jpg</t>
    <phoneticPr fontId="2"/>
  </si>
  <si>
    <t>Sakurajima-Taisho_cover.jpg</t>
    <phoneticPr fontId="2"/>
  </si>
  <si>
    <t>Puyehue-2011_lapse2.jpg</t>
    <phoneticPr fontId="2"/>
  </si>
  <si>
    <t>Sakujirama-Taisho_lapse2.jpg</t>
    <phoneticPr fontId="2"/>
  </si>
  <si>
    <t>Sakujirama-Taisho_lapse0.jpg</t>
    <phoneticPr fontId="2"/>
  </si>
  <si>
    <t>姶良カルデラ</t>
  </si>
  <si>
    <t>鬼界カルデラ</t>
  </si>
  <si>
    <t>阿多カルデラ</t>
  </si>
  <si>
    <t>屈斜路カルデラ</t>
  </si>
  <si>
    <t>十和田カルデラ</t>
  </si>
  <si>
    <t>池田カルデラ</t>
  </si>
  <si>
    <t>支笏カルデラ</t>
  </si>
  <si>
    <t>洞爺カルデラ</t>
  </si>
  <si>
    <t>Aira caldera</t>
  </si>
  <si>
    <t>Kikai caldera</t>
  </si>
  <si>
    <t>Ata caldera</t>
  </si>
  <si>
    <t>Kussharo caldera</t>
  </si>
  <si>
    <t>Towada caldera</t>
  </si>
  <si>
    <t>Ikeda caldera</t>
  </si>
  <si>
    <t>Shikotsu caldera</t>
  </si>
  <si>
    <t>Toya caldera</t>
  </si>
  <si>
    <t>東北</t>
  </si>
  <si>
    <t>DB_Type</t>
  </si>
  <si>
    <t>Historical</t>
  </si>
  <si>
    <t>Prehistoric</t>
  </si>
  <si>
    <t>やや規模の小さな噴火。噴煙は東に120km流れる。</t>
  </si>
  <si>
    <t>やや規模の小さな噴火。噴煙は対流圏中盤まで上昇、その後350km北へ流れる。</t>
  </si>
  <si>
    <t>やや規模の小さな噴火。噴煙は対流圏上方まで上昇、その後東へ流れる。</t>
  </si>
  <si>
    <t>小規模な爆発。噴煙は30分で3.5kmまで上昇。</t>
  </si>
  <si>
    <t>小規模な爆発。噴煙は東へ。</t>
  </si>
  <si>
    <t>やや規模の小さいサブプリニー式噴火。噴煙柱は圏界面まで到達。噴煙は東北東と西南西へ。</t>
  </si>
  <si>
    <t>小規模な爆発。噴煙は南西と南東へ。</t>
  </si>
  <si>
    <t>Sigurdsson et al. (1984) JVGR</t>
  </si>
  <si>
    <t>Havskov et al. (1983) GRL</t>
  </si>
  <si>
    <t>再び徐々に地震活動が増加。3/29 03:27の噴火直前に地震活動収まる。</t>
  </si>
  <si>
    <t>非常に激しい地震活動の開始。6日に数が減り、11日に最小となる。</t>
  </si>
  <si>
    <t>再び20時間の激しい地震活動。</t>
  </si>
  <si>
    <t>地震活動の断続的な増加</t>
  </si>
  <si>
    <t>地震活動の一時的な増加</t>
  </si>
  <si>
    <t>噴煙高度16.3~18.5 km。GOES衛星とラジオゾンデ観測による。当時の圏界面は16.5km。</t>
  </si>
  <si>
    <t>Matson (1984) JVGR</t>
  </si>
  <si>
    <t>(GOES衛星画像に形成中の笠雲が写っている)</t>
  </si>
  <si>
    <t>(GOES衛星画像に微かに噴煙を上げている様子が写っている)</t>
  </si>
  <si>
    <t>噴煙高度15.2~18.8 km。GOES衛星とラジオゾンデ観測による。当時の圏界面は17 km。</t>
  </si>
  <si>
    <t>噴煙高度16.9 km以上。GOES衛星とラジオゾンデ観測による。当時の圏界面は16.9 km。</t>
  </si>
  <si>
    <t>一連の噴火で最低輝度を観測。噴煙高度16.9 kmを遥かに上回る。NOAA-6衛星とラジオゾンデ観測による。当時の圏界面は17.3 km。</t>
  </si>
  <si>
    <t>(GOES衛星画像に噴煙を流している様子が写っている)</t>
  </si>
  <si>
    <t>(GOES衛星画像で噴煙は火山から離れているようにみえる)</t>
  </si>
  <si>
    <t>山に入った地質学者が地震を感じる</t>
  </si>
  <si>
    <t>住民は1981年を通して数多くの地震を感じた</t>
  </si>
  <si>
    <t>De la Cruz–Reyna and Del Pozzo, (2009) Geofisica Internacional</t>
  </si>
  <si>
    <t>地震活動のほぼ完全な停止</t>
  </si>
  <si>
    <t>地震活動と微動の再開</t>
  </si>
  <si>
    <t>4/4以降は噴火活動に乏しかった。9/11の水蒸気爆発が最後。</t>
  </si>
  <si>
    <t>流れてくる火砕流が目撃・撮影される</t>
  </si>
  <si>
    <t>2回目のプリニー式噴火が、爆発とともに始まる様子が目撃・撮影される。</t>
  </si>
  <si>
    <t>Carey &amp; Sigurdsson (1986) JVGR</t>
  </si>
  <si>
    <t>1回目のプリニー式噴火。噴出物から推定したピーク時噴煙柱高度27 km、噴出率1.1×10&lt;sup&gt;8&lt;/sup&gt; kg/s。溶岩ドームが破壊され、大量の弾道放出物が飛散。東北東から西南西に噴煙が流れる。</t>
  </si>
  <si>
    <t>2回目のプリニー式噴火。噴出物から推定したピーク時噴煙柱高度は32 km、噴出率1.9×10&lt;sup&gt;8&lt;/sup&gt; kg/s。噴煙は東北東から西南西へ。崩壊により広い範囲に火砕流および火砕サージが発生</t>
  </si>
  <si>
    <t>3回目のプリニー式噴火。噴出物から推定したピーク時噴煙柱高度は29 km、噴出率1.1×10&lt;sup&gt;8&lt;/sup&gt; kg/s。噴煙は東北東から西南西へ。</t>
  </si>
  <si>
    <t>Jimenez et al. (1999) BV</t>
  </si>
  <si>
    <t>2月いっぱい、断続的な地震活動。</t>
  </si>
  <si>
    <t>1月、Chicoasenダムの地震計群が稼働開始し、幾つかの地震が記録される。</t>
  </si>
  <si>
    <t>活発な地震活動が1ヶ月程度続く</t>
  </si>
  <si>
    <t>end</t>
  </si>
  <si>
    <t>Mc=3.2 ハイブリッド型地震。最初の計器により観測されたM2以上の地震。</t>
  </si>
  <si>
    <t>Mc=2.4 ハイブリッド型地震。群発を伴う。</t>
  </si>
  <si>
    <t>Mc=2.9 ハイブリッド型地震が増え始める。</t>
  </si>
  <si>
    <t>Mc=4.0 ハイブリッド型地震。最も大きい地震。</t>
  </si>
  <si>
    <t>Mc=3.8 ハイブリッド型地震。群発を伴う。</t>
  </si>
  <si>
    <t>地震活動の静穏期。何も記録されない状態。</t>
  </si>
  <si>
    <t>大振幅の連続微動</t>
  </si>
  <si>
    <t>Mc=3.1 テクトニック地震</t>
  </si>
  <si>
    <t>地震活動の静穏期。</t>
  </si>
  <si>
    <t>大小の振幅の連続微動。</t>
  </si>
  <si>
    <t>微動と静穏期が交互に続く</t>
  </si>
  <si>
    <t>弱い連続微動の継続</t>
  </si>
  <si>
    <t>弱い連続微動と低周波地震の群発</t>
  </si>
  <si>
    <t>最初の低周波地震。</t>
  </si>
  <si>
    <t>66回の低周波地震の群発。</t>
  </si>
  <si>
    <t>低周波地震の群発</t>
  </si>
  <si>
    <t>連続微動と低周波地震</t>
  </si>
  <si>
    <t>El Chichonはメキシコ南部の横ずれ断層地域に孤立して存在しているトラカイト質安山岩マグマを噴出する火山である。山体をWNW-ESE走向で左横ずれのSan Juan断層が横切っており、火道もこの断層沿いに形成されていると考えられている (Galcia-Palomo et al. 2004)。過去8000年間に12回の噴火を繰り返しており、1250 BPおよび2500 BPの噴火はマヤ文明にも被害をもたらしたと考えられている。それぞれの噴火は600年程度の静穏機をはさみ、少なくとも9回はVEI-4かそれ以上の規模であった (Espindola et al. 2000)。最新の1982年の噴火は歴史記録として残っている唯一の噴火である。</t>
  </si>
  <si>
    <t>1980年の12月と1981年の2月にEl Chichonで調査を行っていたComisión Federal de Electricidadの地質学者が地震を体感している。地元住民は1981年の間数多くの地震を感じたという (De la Cruz–Reyna and Del Pozzo, 2009)。25 km以上離れたChicoasenダムの地震活動を観測するための地震計が1982年の1月に入って稼働を始め、1月は少ないが2月には断続的に地震を記録している。3月1-6日にかけて非常に激しい地震活動がおきる。次第に減衰するが11日から再び増え始め、29日03:27 (以降UTC)に突然活動が減退した (Havskov et al. 1983)。</t>
  </si>
  <si>
    <t>1982年3月29日05:15に噴火開始。05:32から最初のプリニー式噴火に発展。その後4/3まで断続的に小爆発と地震活動の消長を繰り返す。次第に地震活動が高まる中4/4 01:35に2回め、11:22に3回めのプリニー式噴火が起こった。特に2回めのものは火砕サージが全周に5 km程度流れる規模の大きなものだった。3つのプリニー式噴火についてCarey &amp; Sigurdsson (1986)はそれぞれピーク時噴煙高度27 km・噴出率1.1×108 kg/s、32 km・1.9×108 kg/s、29 km・1.3×108 kg/sと噴出物から見積もった。いっぽう衛星画像ではいずれも噴煙高度は17 km付近の圏界面を突破しており、3回めが最も高いと考えられた(Matson, 1984)。噴出物のうち降下火砕物の体積は1.09 km3 DRE (Carey &amp; Sigurdsson, 1986)であり、火砕サージが0.09 km3、火砕流および土石流が0.04 km3 DREであった (Sigurdsson et al. 1984)。</t>
  </si>
  <si>
    <t>Carey, S., Sigurdsson, H., 1986. The 1982 eruptions of El Chichon volcano, Mexico (2): Observations and numerical modelling of tephra-fall distribution. Bull. Volcanol. 48, 127–141. https://doi.org/10.1007/BF01046547
Espíndola, J.M., Macías, J.L., Tilling, R.I., Sheridan, M.F., 2000. Volcanic history of El Chichón Volcano (Chiapas, Mexico) during the Holocene, and its impact on human activity. Bull. Volcanol. 62, 90–104. https://doi.org/10.1007/s004459900064
Garcı́a Palomo, A., Macı́as, J.L., Espı́ndola, J.M., 2004. Strike-slip faults and K-alkaline volcanism at El Chichón volcano, southeastern Mexico. J. Volcanol. Geotherm. Res. 136, 247–268. https://doi.org/10.1016/j.jvolgeores.2004.04.001
Havskov, J., De la Cruz-Reyna, S., Singh, S.K., Medina, F., Gutiérrez, C., 1983. Seismic activity related to the March-April, 1982 eruptions of El Chichon Volcano, Chiapas, Mexico. Geophys. Res. Lett. 10, 293–296. https://doi.org/10.1029/gl010i004p00293
Jiménez, Z., Espíndola, V.H., Espíndola, J.M., 1999. Evolution of the seismic activity from the 1982 eruption of El Chichon Volcano, Chiapas, Mexico. Bull. Volcanol. 61, 411–422. https://doi.org/10.1007/s004450050282
Matson, M., 1984. The 1982 El Chichón Volcano eruptions — A satellite perspective. J. Volcanol. Geotherm. Res. 23, 1–10. https://doi.org/10.1016/0377-0273(84)90054-4
Sigurdsson, H., Carey, S.N., Espindola, J.M., 1984. The 1982 eruptions of El Chichón Volcano, Mexico: Stratigraphy of pyroclastic deposits. J. Volcanol. Geotherm. Res. 23, 11–37. https://doi.org/10.1016/0377-0273(84)90055-6</t>
  </si>
  <si>
    <t>歴史時代に1663年の有珠b降下火砕堆積物の噴出で活動を再開した。その後先明和噴火(年代不詳)、明和火砕流(1769)、文政火砕流(1822)、1853噴火、1977噴火などのプリニー式噴火を含む大小の噴火活動および潜在溶岩ドーム形成活動を数十年程度の間隔で繰り返している。</t>
  </si>
  <si>
    <t>1977/08/06 3:30から有感地震多発。</t>
  </si>
  <si>
    <t>推移は新井田ほか(1982)に詳しい。1977/08/07 9:10に小有珠南東麓から白い噴煙が立ち上り最初の噴火が始まる。軽石を降下させながら10:40には噴煙高度12 kmに達するが11:13に一旦噴煙が途切れる。翌8日まで断続的に小噴火が起こった後、15:20に再び軽石を降下させる噴火が再開。18:00に終了するまで軽石・岩片を降下させる。23:40頃から再び噴火が激しくなり翌9日2:15まで軽石降下。その後小爆発を繰り返す。8/14頃から潜在溶岩ドームである有珠新山が成長を始め、隆起は82年3月まで続く。噴火活動は頻度を減じて1978/10/27に最後のものが起こった。一連の活動の総噴出量は0.084 km3 (鈴木, 1981)であった。</t>
  </si>
  <si>
    <t>新井田清信, 鈴木建夫, 勝井義雄, 1982. 有珠山 1977 年噴火の推移と降下火砕堆積物. 火山.第２集 27, 97–118.
鈴木建夫, 1981. 降下火砕堆積物の“層厚-面積”曲線. 火山. 第２集 26, 9–23. https://doi.org/10.18940/kazanc.26.1_9</t>
  </si>
  <si>
    <t>0.084 km3 bulk</t>
  </si>
  <si>
    <t>1.22 km3 DRE</t>
  </si>
  <si>
    <t>トラカイト質安山岩</t>
  </si>
  <si>
    <t>潜在溶岩ドーム</t>
  </si>
  <si>
    <t>32 km</t>
  </si>
  <si>
    <t>12 km</t>
  </si>
  <si>
    <t>メキシコ南部</t>
  </si>
  <si>
    <t>Kikai</t>
  </si>
  <si>
    <t>Ata</t>
  </si>
  <si>
    <t>Kussharo</t>
  </si>
  <si>
    <t>Towada</t>
  </si>
  <si>
    <t>Mashu</t>
  </si>
  <si>
    <t>Ikeda</t>
  </si>
  <si>
    <t>Nigorikawa</t>
  </si>
  <si>
    <t>Daisen</t>
  </si>
  <si>
    <t>屈斜路・摩周カルデラ</t>
  </si>
  <si>
    <t>Kussharo-Mashu caldera</t>
  </si>
  <si>
    <t>濁川カルデラ</t>
  </si>
  <si>
    <t>Nigorikawa caldera</t>
  </si>
  <si>
    <t>大山火山</t>
  </si>
  <si>
    <t>Volcano Daisen</t>
  </si>
  <si>
    <t>山陰</t>
  </si>
  <si>
    <t>Caldera-Aira.geojson</t>
  </si>
  <si>
    <t>Caldera-Kikai.geojson</t>
  </si>
  <si>
    <t>Caldera-Ata.geojson</t>
  </si>
  <si>
    <t>Caldera-Kussharo.geojson</t>
  </si>
  <si>
    <t>Caldera-Towada.geojson</t>
  </si>
  <si>
    <t>Caldera-Shikotsu.geojson</t>
  </si>
  <si>
    <t>Caldera-Toya.geojson</t>
  </si>
  <si>
    <t>Caldera-Mashu.geojson</t>
  </si>
  <si>
    <t>GJSON_Vent</t>
  </si>
  <si>
    <t>Aira_cover.jpg</t>
  </si>
  <si>
    <t>Ata_cover.jpg</t>
  </si>
  <si>
    <t>Ikeda_cover.jpg</t>
  </si>
  <si>
    <t>Kikai_cover.jpg</t>
  </si>
  <si>
    <t>Shikotsu_cover.jpg</t>
  </si>
  <si>
    <t>Towada_cover.JPG</t>
  </si>
  <si>
    <t>ToyaNakajima_cover.jpg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</si>
</sst>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E+00"/>
    <numFmt numFmtId="177" formatCode="yyyy/m/d\ h:mm;@"/>
    <numFmt numFmtId="178" formatCode="0_);[Red]\(0\)"/>
    <numFmt numFmtId="179" formatCode="0.0_);[Red]\(0.0\)"/>
  </numFmts>
  <fonts count="9" x14ac:knownFonts="1">
    <font>
      <sz val="11"/>
      <color theme="1"/>
      <name val="游ゴシック"/>
      <family val="2"/>
      <charset val="128"/>
      <scheme val="minor"/>
    </font>
    <font>
      <sz val="11"/>
      <color theme="1"/>
      <name val="游ゴシック"/>
      <family val="2"/>
      <scheme val="minor"/>
    </font>
    <font>
      <sz val="6"/>
      <name val="游ゴシック"/>
      <family val="2"/>
      <charset val="128"/>
      <scheme val="minor"/>
    </font>
    <font>
      <b/>
      <sz val="11"/>
      <name val="Calibri"/>
      <family val="2"/>
    </font>
    <font>
      <sz val="11"/>
      <name val="Calibri"/>
      <family val="2"/>
    </font>
    <font>
      <sz val="11"/>
      <color theme="1"/>
      <name val="Calibri"/>
      <family val="2"/>
    </font>
    <font>
      <sz val="11"/>
      <color theme="1"/>
      <name val="游ゴシック"/>
      <family val="2"/>
      <charset val="128"/>
      <scheme val="minor"/>
    </font>
    <font>
      <b/>
      <sz val="11"/>
      <color theme="0"/>
      <name val="游ゴシック"/>
      <family val="3"/>
      <charset val="128"/>
      <scheme val="minor"/>
    </font>
    <font>
      <b/>
      <sz val="11"/>
      <color theme="0"/>
      <name val="游ゴシック"/>
      <family val="2"/>
      <scheme val="minor"/>
    </font>
  </fonts>
  <fills count="9">
    <fill>
      <patternFill patternType="none"/>
    </fill>
    <fill>
      <patternFill patternType="gray125"/>
    </fill>
    <fill>
      <patternFill patternType="solid">
        <fgColor rgb="FF99CCFF"/>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1"/>
        <bgColor indexed="64"/>
      </patternFill>
    </fill>
    <fill>
      <patternFill patternType="solid">
        <fgColor theme="3"/>
        <bgColor indexed="64"/>
      </patternFill>
    </fill>
  </fills>
  <borders count="3">
    <border>
      <left/>
      <right/>
      <top/>
      <bottom/>
      <diagonal/>
    </border>
    <border>
      <left/>
      <right style="thin">
        <color auto="1"/>
      </right>
      <top style="double">
        <color auto="1"/>
      </top>
      <bottom style="double">
        <color auto="1"/>
      </bottom>
      <diagonal/>
    </border>
    <border>
      <left/>
      <right style="thin">
        <color auto="1"/>
      </right>
      <top/>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41">
    <xf numFmtId="0" fontId="0" fillId="0" borderId="0" xfId="0">
      <alignment vertical="center"/>
    </xf>
    <xf numFmtId="0" fontId="3" fillId="2" borderId="1" xfId="0" applyFont="1" applyFill="1" applyBorder="1" applyAlignment="1">
      <alignment horizontal="left" vertical="top"/>
    </xf>
    <xf numFmtId="0" fontId="4" fillId="0" borderId="0" xfId="0" applyFont="1" applyAlignment="1">
      <alignment horizontal="left" vertical="top"/>
    </xf>
    <xf numFmtId="0" fontId="5" fillId="0" borderId="0" xfId="0" applyFont="1">
      <alignment vertical="center"/>
    </xf>
    <xf numFmtId="0" fontId="3" fillId="3" borderId="2" xfId="0" applyFont="1" applyFill="1" applyBorder="1" applyAlignment="1">
      <alignment horizontal="left" vertical="top"/>
    </xf>
    <xf numFmtId="0" fontId="4" fillId="4" borderId="0" xfId="0" applyFont="1" applyFill="1" applyAlignment="1">
      <alignment horizontal="left" vertical="top"/>
    </xf>
    <xf numFmtId="0" fontId="5" fillId="4" borderId="0" xfId="0" applyFont="1" applyFill="1">
      <alignment vertical="center"/>
    </xf>
    <xf numFmtId="0" fontId="0" fillId="4" borderId="0" xfId="0" applyFill="1">
      <alignment vertical="center"/>
    </xf>
    <xf numFmtId="17" fontId="4" fillId="4" borderId="0" xfId="0" applyNumberFormat="1" applyFont="1" applyFill="1" applyAlignment="1">
      <alignment horizontal="left" vertical="top"/>
    </xf>
    <xf numFmtId="14" fontId="0" fillId="0" borderId="0" xfId="0" applyNumberFormat="1">
      <alignment vertical="center"/>
    </xf>
    <xf numFmtId="176" fontId="0" fillId="0" borderId="0" xfId="0" applyNumberFormat="1">
      <alignment vertical="center"/>
    </xf>
    <xf numFmtId="177" fontId="0" fillId="0" borderId="0" xfId="0" applyNumberFormat="1">
      <alignment vertical="center"/>
    </xf>
    <xf numFmtId="9" fontId="0" fillId="0" borderId="0" xfId="1" applyFont="1">
      <alignment vertical="center"/>
    </xf>
    <xf numFmtId="0" fontId="0" fillId="0" borderId="0" xfId="1" applyNumberFormat="1" applyFont="1">
      <alignment vertical="center"/>
    </xf>
    <xf numFmtId="0" fontId="4" fillId="5" borderId="0" xfId="0" applyFont="1" applyFill="1" applyAlignment="1">
      <alignment horizontal="left" vertical="top"/>
    </xf>
    <xf numFmtId="0" fontId="0" fillId="5" borderId="0" xfId="0" applyFill="1">
      <alignment vertical="center"/>
    </xf>
    <xf numFmtId="0" fontId="5" fillId="5" borderId="0" xfId="0" applyFont="1" applyFill="1">
      <alignment vertical="center"/>
    </xf>
    <xf numFmtId="0" fontId="4" fillId="6" borderId="0" xfId="0" applyFont="1" applyFill="1" applyAlignment="1">
      <alignment horizontal="left" vertical="top"/>
    </xf>
    <xf numFmtId="0" fontId="0" fillId="6" borderId="0" xfId="0" applyFill="1">
      <alignment vertical="center"/>
    </xf>
    <xf numFmtId="0" fontId="5" fillId="6" borderId="0" xfId="0" applyFont="1" applyFill="1">
      <alignment vertical="center"/>
    </xf>
    <xf numFmtId="0" fontId="0" fillId="0" borderId="0" xfId="0" applyNumberFormat="1">
      <alignment vertical="center"/>
    </xf>
    <xf numFmtId="176" fontId="0" fillId="0" borderId="0" xfId="1" applyNumberFormat="1" applyFont="1">
      <alignment vertical="center"/>
    </xf>
    <xf numFmtId="22" fontId="0" fillId="0" borderId="0" xfId="0" applyNumberFormat="1">
      <alignment vertical="center"/>
    </xf>
    <xf numFmtId="2" fontId="0" fillId="0" borderId="0" xfId="0" applyNumberFormat="1">
      <alignment vertical="center"/>
    </xf>
    <xf numFmtId="178" fontId="0" fillId="0" borderId="0" xfId="0" applyNumberFormat="1">
      <alignment vertical="center"/>
    </xf>
    <xf numFmtId="0" fontId="7" fillId="7" borderId="0" xfId="0" applyFont="1" applyFill="1">
      <alignment vertical="center"/>
    </xf>
    <xf numFmtId="178" fontId="7" fillId="7" borderId="0" xfId="0" applyNumberFormat="1" applyFont="1" applyFill="1">
      <alignment vertical="center"/>
    </xf>
    <xf numFmtId="0" fontId="7" fillId="7" borderId="0" xfId="0" applyNumberFormat="1" applyFont="1" applyFill="1">
      <alignment vertical="center"/>
    </xf>
    <xf numFmtId="2" fontId="7" fillId="7" borderId="0" xfId="0" applyNumberFormat="1" applyFont="1" applyFill="1">
      <alignment vertical="center"/>
    </xf>
    <xf numFmtId="16" fontId="0" fillId="0" borderId="0" xfId="0" applyNumberFormat="1">
      <alignment vertical="center"/>
    </xf>
    <xf numFmtId="3" fontId="0" fillId="0" borderId="0" xfId="0" applyNumberFormat="1">
      <alignment vertical="center"/>
    </xf>
    <xf numFmtId="0" fontId="8" fillId="7" borderId="0" xfId="0" applyFont="1" applyFill="1">
      <alignment vertical="center"/>
    </xf>
    <xf numFmtId="14" fontId="8" fillId="7" borderId="0" xfId="0" applyNumberFormat="1" applyFont="1" applyFill="1">
      <alignment vertical="center"/>
    </xf>
    <xf numFmtId="0" fontId="8" fillId="7" borderId="0" xfId="0" applyNumberFormat="1" applyFont="1" applyFill="1">
      <alignment vertical="center"/>
    </xf>
    <xf numFmtId="14" fontId="0" fillId="0" borderId="0" xfId="0" applyNumberFormat="1" applyAlignment="1">
      <alignment vertical="center"/>
    </xf>
    <xf numFmtId="0" fontId="0" fillId="0" borderId="0" xfId="0" applyAlignment="1">
      <alignment vertical="center"/>
    </xf>
    <xf numFmtId="14" fontId="1" fillId="0" borderId="0" xfId="0" applyNumberFormat="1" applyFont="1" applyAlignment="1">
      <alignment vertical="center"/>
    </xf>
    <xf numFmtId="0" fontId="7" fillId="7" borderId="2" xfId="0" applyFont="1" applyFill="1" applyBorder="1">
      <alignment vertical="center"/>
    </xf>
    <xf numFmtId="0" fontId="7" fillId="8" borderId="2" xfId="0" applyFont="1" applyFill="1" applyBorder="1">
      <alignment vertical="center"/>
    </xf>
    <xf numFmtId="179" fontId="0" fillId="0" borderId="0" xfId="0" applyNumberFormat="1">
      <alignment vertical="center"/>
    </xf>
    <xf numFmtId="0" fontId="0" fillId="0" borderId="0" xfId="0" applyAlignment="1"/>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3"/>
          <c:order val="0"/>
          <c:tx>
            <c:strRef>
              <c:f>Continuous!$AK$1</c:f>
              <c:strCache>
                <c:ptCount val="1"/>
                <c:pt idx="0">
                  <c:v>Usu 1977 Column</c:v>
                </c:pt>
              </c:strCache>
            </c:strRef>
          </c:tx>
          <c:spPr>
            <a:ln w="19050" cap="rnd">
              <a:solidFill>
                <a:schemeClr val="accent3"/>
              </a:solidFill>
              <a:round/>
            </a:ln>
            <a:effectLst/>
          </c:spPr>
          <c:marker>
            <c:symbol val="none"/>
          </c:marker>
          <c:xVal>
            <c:numRef>
              <c:f>Continuous!$AM$4:$AM$56</c:f>
              <c:numCache>
                <c:formatCode>General</c:formatCode>
                <c:ptCount val="53"/>
                <c:pt idx="0">
                  <c:v>0</c:v>
                </c:pt>
                <c:pt idx="1">
                  <c:v>0.12177121771199495</c:v>
                </c:pt>
                <c:pt idx="2">
                  <c:v>0.60885608856072082</c:v>
                </c:pt>
                <c:pt idx="3">
                  <c:v>1.5830258302581512</c:v>
                </c:pt>
                <c:pt idx="4">
                  <c:v>2.3136531365313573</c:v>
                </c:pt>
                <c:pt idx="5">
                  <c:v>3.0442804428043075</c:v>
                </c:pt>
                <c:pt idx="6">
                  <c:v>3.409594095940804</c:v>
                </c:pt>
                <c:pt idx="7">
                  <c:v>4.261992619926005</c:v>
                </c:pt>
                <c:pt idx="8">
                  <c:v>4.9926199261991897</c:v>
                </c:pt>
                <c:pt idx="9">
                  <c:v>5.4797047970479156</c:v>
                </c:pt>
                <c:pt idx="10">
                  <c:v>7.5498154981547927</c:v>
                </c:pt>
                <c:pt idx="11">
                  <c:v>7.7933579335792729</c:v>
                </c:pt>
                <c:pt idx="12">
                  <c:v>8.158671586715748</c:v>
                </c:pt>
                <c:pt idx="13">
                  <c:v>9.2546125461254292</c:v>
                </c:pt>
                <c:pt idx="14">
                  <c:v>9.86346863468615</c:v>
                </c:pt>
                <c:pt idx="15">
                  <c:v>10.350553505534876</c:v>
                </c:pt>
                <c:pt idx="16">
                  <c:v>28.494464944649259</c:v>
                </c:pt>
                <c:pt idx="17">
                  <c:v>28.859778597785755</c:v>
                </c:pt>
                <c:pt idx="18">
                  <c:v>29.468634686346711</c:v>
                </c:pt>
                <c:pt idx="19">
                  <c:v>30.321033210331912</c:v>
                </c:pt>
                <c:pt idx="20">
                  <c:v>31.295202952029364</c:v>
                </c:pt>
                <c:pt idx="21">
                  <c:v>32.147601476014565</c:v>
                </c:pt>
                <c:pt idx="22">
                  <c:v>32.75645756457552</c:v>
                </c:pt>
                <c:pt idx="23">
                  <c:v>33.730627306272972</c:v>
                </c:pt>
                <c:pt idx="24">
                  <c:v>34.704797047970381</c:v>
                </c:pt>
                <c:pt idx="25">
                  <c:v>34.948339483394626</c:v>
                </c:pt>
                <c:pt idx="26">
                  <c:v>38.479704797047937</c:v>
                </c:pt>
                <c:pt idx="27">
                  <c:v>38.601476014760145</c:v>
                </c:pt>
                <c:pt idx="28">
                  <c:v>39.210332103320887</c:v>
                </c:pt>
                <c:pt idx="29">
                  <c:v>41.036900369003497</c:v>
                </c:pt>
                <c:pt idx="30">
                  <c:v>41.523985239852244</c:v>
                </c:pt>
                <c:pt idx="31">
                  <c:v>42.011070110700949</c:v>
                </c:pt>
                <c:pt idx="32">
                  <c:v>43.959409594095852</c:v>
                </c:pt>
                <c:pt idx="33">
                  <c:v>44.202952029520311</c:v>
                </c:pt>
                <c:pt idx="34">
                  <c:v>44.933579335793262</c:v>
                </c:pt>
                <c:pt idx="35">
                  <c:v>45.298892988929758</c:v>
                </c:pt>
                <c:pt idx="36">
                  <c:v>45.907749077490713</c:v>
                </c:pt>
                <c:pt idx="37">
                  <c:v>46.27306273062721</c:v>
                </c:pt>
                <c:pt idx="38">
                  <c:v>47.36900369003687</c:v>
                </c:pt>
                <c:pt idx="39">
                  <c:v>47.612546125461115</c:v>
                </c:pt>
                <c:pt idx="40">
                  <c:v>48.830258302583026</c:v>
                </c:pt>
                <c:pt idx="41">
                  <c:v>49.317343173431517</c:v>
                </c:pt>
                <c:pt idx="42">
                  <c:v>49.804428044280222</c:v>
                </c:pt>
                <c:pt idx="43">
                  <c:v>50.535055350553428</c:v>
                </c:pt>
                <c:pt idx="44">
                  <c:v>50.778597785977674</c:v>
                </c:pt>
                <c:pt idx="45">
                  <c:v>51.022140221402175</c:v>
                </c:pt>
                <c:pt idx="46">
                  <c:v>51.874538745387376</c:v>
                </c:pt>
                <c:pt idx="47">
                  <c:v>52.605166051660326</c:v>
                </c:pt>
                <c:pt idx="48">
                  <c:v>53.335793357933532</c:v>
                </c:pt>
                <c:pt idx="49">
                  <c:v>53.701107011069986</c:v>
                </c:pt>
                <c:pt idx="50">
                  <c:v>54.797047970479689</c:v>
                </c:pt>
                <c:pt idx="51">
                  <c:v>55.162361623616142</c:v>
                </c:pt>
                <c:pt idx="52">
                  <c:v>56.136531365313594</c:v>
                </c:pt>
              </c:numCache>
            </c:numRef>
          </c:xVal>
          <c:yVal>
            <c:numRef>
              <c:f>Continuous!$AN$4:$AN$56</c:f>
              <c:numCache>
                <c:formatCode>0%</c:formatCode>
                <c:ptCount val="53"/>
                <c:pt idx="0">
                  <c:v>0</c:v>
                </c:pt>
                <c:pt idx="1">
                  <c:v>0.24286955536247354</c:v>
                </c:pt>
                <c:pt idx="2">
                  <c:v>0.30414415775754799</c:v>
                </c:pt>
                <c:pt idx="3">
                  <c:v>1</c:v>
                </c:pt>
                <c:pt idx="4">
                  <c:v>3.2318386158437636E-2</c:v>
                </c:pt>
                <c:pt idx="5">
                  <c:v>0.16006195459181768</c:v>
                </c:pt>
                <c:pt idx="6">
                  <c:v>0</c:v>
                </c:pt>
                <c:pt idx="7">
                  <c:v>0</c:v>
                </c:pt>
                <c:pt idx="8">
                  <c:v>0.11338823618299267</c:v>
                </c:pt>
                <c:pt idx="9">
                  <c:v>0</c:v>
                </c:pt>
                <c:pt idx="10">
                  <c:v>0</c:v>
                </c:pt>
                <c:pt idx="11">
                  <c:v>8.6925314495107764E-2</c:v>
                </c:pt>
                <c:pt idx="12">
                  <c:v>0</c:v>
                </c:pt>
                <c:pt idx="13">
                  <c:v>0</c:v>
                </c:pt>
                <c:pt idx="14">
                  <c:v>9.6520720788788497E-2</c:v>
                </c:pt>
                <c:pt idx="15">
                  <c:v>0</c:v>
                </c:pt>
                <c:pt idx="16">
                  <c:v>0</c:v>
                </c:pt>
                <c:pt idx="17">
                  <c:v>0.10086509765403698</c:v>
                </c:pt>
                <c:pt idx="18">
                  <c:v>0</c:v>
                </c:pt>
                <c:pt idx="19">
                  <c:v>0</c:v>
                </c:pt>
                <c:pt idx="20">
                  <c:v>0.56080238751842026</c:v>
                </c:pt>
                <c:pt idx="21">
                  <c:v>0.83695364738771316</c:v>
                </c:pt>
                <c:pt idx="22">
                  <c:v>0.43749763892561977</c:v>
                </c:pt>
                <c:pt idx="23">
                  <c:v>2.0966340523591175E-3</c:v>
                </c:pt>
                <c:pt idx="24">
                  <c:v>8.3695364738771233E-2</c:v>
                </c:pt>
                <c:pt idx="25">
                  <c:v>0</c:v>
                </c:pt>
                <c:pt idx="26">
                  <c:v>0</c:v>
                </c:pt>
                <c:pt idx="27">
                  <c:v>0.46639718937705682</c:v>
                </c:pt>
                <c:pt idx="28">
                  <c:v>0.83988137962298903</c:v>
                </c:pt>
                <c:pt idx="29">
                  <c:v>0.2916021306335253</c:v>
                </c:pt>
                <c:pt idx="30">
                  <c:v>0.41430244418420387</c:v>
                </c:pt>
                <c:pt idx="31">
                  <c:v>0</c:v>
                </c:pt>
                <c:pt idx="32">
                  <c:v>4.042159344187936E-3</c:v>
                </c:pt>
                <c:pt idx="33">
                  <c:v>7.5629934645461555E-2</c:v>
                </c:pt>
                <c:pt idx="34">
                  <c:v>0.11635374560840238</c:v>
                </c:pt>
                <c:pt idx="35">
                  <c:v>0.18790374371954305</c:v>
                </c:pt>
                <c:pt idx="36">
                  <c:v>0.18771485776888033</c:v>
                </c:pt>
                <c:pt idx="37">
                  <c:v>0.45889841713573598</c:v>
                </c:pt>
                <c:pt idx="38">
                  <c:v>0</c:v>
                </c:pt>
                <c:pt idx="39">
                  <c:v>0.12576026595141873</c:v>
                </c:pt>
                <c:pt idx="40">
                  <c:v>9.9788447735257482E-2</c:v>
                </c:pt>
                <c:pt idx="41">
                  <c:v>0</c:v>
                </c:pt>
                <c:pt idx="42">
                  <c:v>0.32983264704771431</c:v>
                </c:pt>
                <c:pt idx="43">
                  <c:v>0</c:v>
                </c:pt>
                <c:pt idx="44">
                  <c:v>0.16572853311170832</c:v>
                </c:pt>
                <c:pt idx="45">
                  <c:v>0.21684107136111316</c:v>
                </c:pt>
                <c:pt idx="46">
                  <c:v>0.77964564995656105</c:v>
                </c:pt>
                <c:pt idx="47">
                  <c:v>0.39038948283026942</c:v>
                </c:pt>
                <c:pt idx="48">
                  <c:v>0.66145971062672759</c:v>
                </c:pt>
                <c:pt idx="49">
                  <c:v>0</c:v>
                </c:pt>
                <c:pt idx="50">
                  <c:v>0</c:v>
                </c:pt>
                <c:pt idx="51">
                  <c:v>9.270522458539586E-2</c:v>
                </c:pt>
                <c:pt idx="52">
                  <c:v>0</c:v>
                </c:pt>
              </c:numCache>
            </c:numRef>
          </c:yVal>
          <c:smooth val="0"/>
          <c:extLst>
            <c:ext xmlns:c16="http://schemas.microsoft.com/office/drawing/2014/chart" uri="{C3380CC4-5D6E-409C-BE32-E72D297353CC}">
              <c16:uniqueId val="{0000001B-3D18-434C-AE86-C364222C5A98}"/>
            </c:ext>
          </c:extLst>
        </c:ser>
        <c:ser>
          <c:idx val="4"/>
          <c:order val="1"/>
          <c:tx>
            <c:strRef>
              <c:f>Continuous!$AP$1</c:f>
              <c:strCache>
                <c:ptCount val="1"/>
                <c:pt idx="0">
                  <c:v>Komagatake 1929 Rate</c:v>
                </c:pt>
              </c:strCache>
            </c:strRef>
          </c:tx>
          <c:spPr>
            <a:ln w="19050" cap="rnd">
              <a:solidFill>
                <a:srgbClr val="7030A0"/>
              </a:solidFill>
              <a:round/>
            </a:ln>
            <a:effectLst/>
          </c:spPr>
          <c:marker>
            <c:symbol val="none"/>
          </c:marker>
          <c:xVal>
            <c:numRef>
              <c:f>Continuous!$AR$4:$AR$10</c:f>
              <c:numCache>
                <c:formatCode>General</c:formatCode>
                <c:ptCount val="7"/>
                <c:pt idx="0">
                  <c:v>9.8181818181815856</c:v>
                </c:pt>
                <c:pt idx="1">
                  <c:v>9.8181818181815856</c:v>
                </c:pt>
                <c:pt idx="2">
                  <c:v>12.449197860962414</c:v>
                </c:pt>
                <c:pt idx="3">
                  <c:v>12.449197860962414</c:v>
                </c:pt>
                <c:pt idx="4">
                  <c:v>14.400000000000034</c:v>
                </c:pt>
                <c:pt idx="5">
                  <c:v>20.021390374329627</c:v>
                </c:pt>
                <c:pt idx="6">
                  <c:v>26.951871657753628</c:v>
                </c:pt>
              </c:numCache>
            </c:numRef>
          </c:xVal>
          <c:yVal>
            <c:numRef>
              <c:f>Continuous!$AS$4:$AS$10</c:f>
              <c:numCache>
                <c:formatCode>0%</c:formatCode>
                <c:ptCount val="7"/>
                <c:pt idx="0">
                  <c:v>0</c:v>
                </c:pt>
                <c:pt idx="1">
                  <c:v>0.56249999999999878</c:v>
                </c:pt>
                <c:pt idx="2">
                  <c:v>0.56249999999999878</c:v>
                </c:pt>
                <c:pt idx="3">
                  <c:v>1</c:v>
                </c:pt>
                <c:pt idx="4">
                  <c:v>1</c:v>
                </c:pt>
                <c:pt idx="5">
                  <c:v>0.62499999999999745</c:v>
                </c:pt>
                <c:pt idx="6">
                  <c:v>0.62499999999999745</c:v>
                </c:pt>
              </c:numCache>
            </c:numRef>
          </c:yVal>
          <c:smooth val="0"/>
          <c:extLst>
            <c:ext xmlns:c16="http://schemas.microsoft.com/office/drawing/2014/chart" uri="{C3380CC4-5D6E-409C-BE32-E72D297353CC}">
              <c16:uniqueId val="{0000001C-3D18-434C-AE86-C364222C5A98}"/>
            </c:ext>
          </c:extLst>
        </c:ser>
        <c:ser>
          <c:idx val="5"/>
          <c:order val="2"/>
          <c:tx>
            <c:strRef>
              <c:f>Continuous!$AT$1</c:f>
              <c:strCache>
                <c:ptCount val="1"/>
                <c:pt idx="0">
                  <c:v>Komagatake 1929 Column</c:v>
                </c:pt>
              </c:strCache>
            </c:strRef>
          </c:tx>
          <c:spPr>
            <a:ln w="19050" cap="rnd">
              <a:solidFill>
                <a:srgbClr val="7030A0"/>
              </a:solidFill>
              <a:prstDash val="dash"/>
              <a:round/>
            </a:ln>
            <a:effectLst/>
          </c:spPr>
          <c:marker>
            <c:symbol val="none"/>
          </c:marker>
          <c:xVal>
            <c:numRef>
              <c:f>Continuous!$AV$4:$AV$31</c:f>
              <c:numCache>
                <c:formatCode>General</c:formatCode>
                <c:ptCount val="28"/>
                <c:pt idx="0">
                  <c:v>1.0212765957432168</c:v>
                </c:pt>
                <c:pt idx="1">
                  <c:v>7.0212765957432168</c:v>
                </c:pt>
                <c:pt idx="2">
                  <c:v>7.7234042553167797</c:v>
                </c:pt>
                <c:pt idx="3">
                  <c:v>8.4893617021272405</c:v>
                </c:pt>
                <c:pt idx="4">
                  <c:v>9.1914893617008033</c:v>
                </c:pt>
                <c:pt idx="5">
                  <c:v>9.6382978723392227</c:v>
                </c:pt>
                <c:pt idx="6">
                  <c:v>10.276595744680833</c:v>
                </c:pt>
                <c:pt idx="7">
                  <c:v>10.531914893615976</c:v>
                </c:pt>
                <c:pt idx="8">
                  <c:v>10.85106382978563</c:v>
                </c:pt>
                <c:pt idx="9">
                  <c:v>11.425531914892815</c:v>
                </c:pt>
                <c:pt idx="10">
                  <c:v>12.957446808508791</c:v>
                </c:pt>
                <c:pt idx="11">
                  <c:v>13.978723404254396</c:v>
                </c:pt>
                <c:pt idx="12">
                  <c:v>14.425531914892815</c:v>
                </c:pt>
                <c:pt idx="13">
                  <c:v>14.744680851062384</c:v>
                </c:pt>
                <c:pt idx="14">
                  <c:v>14.872340425531235</c:v>
                </c:pt>
                <c:pt idx="15">
                  <c:v>15.063829787232038</c:v>
                </c:pt>
                <c:pt idx="16">
                  <c:v>15.510638297870372</c:v>
                </c:pt>
                <c:pt idx="17">
                  <c:v>16.212765957446408</c:v>
                </c:pt>
                <c:pt idx="18">
                  <c:v>17.553191489361581</c:v>
                </c:pt>
                <c:pt idx="19">
                  <c:v>18.638297872339223</c:v>
                </c:pt>
                <c:pt idx="20">
                  <c:v>19.340425531912786</c:v>
                </c:pt>
                <c:pt idx="21">
                  <c:v>20.36170212765839</c:v>
                </c:pt>
                <c:pt idx="22">
                  <c:v>21.510638297870372</c:v>
                </c:pt>
                <c:pt idx="23">
                  <c:v>23.170212765955199</c:v>
                </c:pt>
                <c:pt idx="24">
                  <c:v>24.255319148935229</c:v>
                </c:pt>
                <c:pt idx="25">
                  <c:v>25.404255319147211</c:v>
                </c:pt>
                <c:pt idx="26">
                  <c:v>26.489361702127241</c:v>
                </c:pt>
                <c:pt idx="27">
                  <c:v>26.999999999997613</c:v>
                </c:pt>
              </c:numCache>
            </c:numRef>
          </c:xVal>
          <c:yVal>
            <c:numRef>
              <c:f>Continuous!$AW$4:$AW$31</c:f>
              <c:numCache>
                <c:formatCode>0%</c:formatCode>
                <c:ptCount val="28"/>
                <c:pt idx="0">
                  <c:v>0</c:v>
                </c:pt>
                <c:pt idx="1">
                  <c:v>2.327652752211783E-2</c:v>
                </c:pt>
                <c:pt idx="2">
                  <c:v>4.0674544266967497E-2</c:v>
                </c:pt>
                <c:pt idx="3">
                  <c:v>9.1621637669971473E-2</c:v>
                </c:pt>
                <c:pt idx="4">
                  <c:v>0.17599904993765217</c:v>
                </c:pt>
                <c:pt idx="5">
                  <c:v>0.31037349326049574</c:v>
                </c:pt>
                <c:pt idx="6">
                  <c:v>0.74633335312629656</c:v>
                </c:pt>
                <c:pt idx="7">
                  <c:v>0.89727450863962499</c:v>
                </c:pt>
                <c:pt idx="8">
                  <c:v>0.98129564752686638</c:v>
                </c:pt>
                <c:pt idx="9">
                  <c:v>0.99857490647823421</c:v>
                </c:pt>
                <c:pt idx="10">
                  <c:v>1</c:v>
                </c:pt>
                <c:pt idx="11">
                  <c:v>0.950715515705715</c:v>
                </c:pt>
                <c:pt idx="12">
                  <c:v>0.83391722581794536</c:v>
                </c:pt>
                <c:pt idx="13">
                  <c:v>0.70025532925598333</c:v>
                </c:pt>
                <c:pt idx="14">
                  <c:v>0.53292559824238495</c:v>
                </c:pt>
                <c:pt idx="15">
                  <c:v>0.4158897927676512</c:v>
                </c:pt>
                <c:pt idx="16">
                  <c:v>0.3493260495219998</c:v>
                </c:pt>
                <c:pt idx="17">
                  <c:v>0.33323436850543225</c:v>
                </c:pt>
                <c:pt idx="18">
                  <c:v>0.33448132533697456</c:v>
                </c:pt>
                <c:pt idx="19">
                  <c:v>0.3187459177008492</c:v>
                </c:pt>
                <c:pt idx="20">
                  <c:v>0.31939908556499025</c:v>
                </c:pt>
                <c:pt idx="21">
                  <c:v>0.28685945015141662</c:v>
                </c:pt>
                <c:pt idx="22">
                  <c:v>0.25443857253132185</c:v>
                </c:pt>
                <c:pt idx="23">
                  <c:v>0.1890030283237332</c:v>
                </c:pt>
                <c:pt idx="24">
                  <c:v>0.13977792292619159</c:v>
                </c:pt>
                <c:pt idx="25">
                  <c:v>9.0612196425389729E-2</c:v>
                </c:pt>
                <c:pt idx="26">
                  <c:v>4.1387091027847829E-2</c:v>
                </c:pt>
                <c:pt idx="27">
                  <c:v>8.3724244403526604E-3</c:v>
                </c:pt>
              </c:numCache>
            </c:numRef>
          </c:yVal>
          <c:smooth val="0"/>
          <c:extLst>
            <c:ext xmlns:c16="http://schemas.microsoft.com/office/drawing/2014/chart" uri="{C3380CC4-5D6E-409C-BE32-E72D297353CC}">
              <c16:uniqueId val="{0000001D-3D18-434C-AE86-C364222C5A98}"/>
            </c:ext>
          </c:extLst>
        </c:ser>
        <c:ser>
          <c:idx val="6"/>
          <c:order val="3"/>
          <c:tx>
            <c:strRef>
              <c:f>Continuous!$AY$1</c:f>
              <c:strCache>
                <c:ptCount val="1"/>
                <c:pt idx="0">
                  <c:v>Augustine 1976 Column</c:v>
                </c:pt>
              </c:strCache>
            </c:strRef>
          </c:tx>
          <c:spPr>
            <a:ln w="19050" cap="rnd">
              <a:solidFill>
                <a:schemeClr val="accent1">
                  <a:lumMod val="60000"/>
                </a:schemeClr>
              </a:solidFill>
              <a:round/>
            </a:ln>
            <a:effectLst/>
          </c:spPr>
          <c:marker>
            <c:symbol val="none"/>
          </c:marker>
          <c:xVal>
            <c:numRef>
              <c:f>Continuous!$BA$4:$BA$12</c:f>
              <c:numCache>
                <c:formatCode>General</c:formatCode>
                <c:ptCount val="9"/>
                <c:pt idx="0">
                  <c:v>0</c:v>
                </c:pt>
                <c:pt idx="1">
                  <c:v>4.0468384074960682</c:v>
                </c:pt>
                <c:pt idx="2">
                  <c:v>17.199063231852023</c:v>
                </c:pt>
                <c:pt idx="3">
                  <c:v>18.042154566746461</c:v>
                </c:pt>
                <c:pt idx="4">
                  <c:v>19.053864168619242</c:v>
                </c:pt>
                <c:pt idx="5">
                  <c:v>21.245901639345618</c:v>
                </c:pt>
                <c:pt idx="6">
                  <c:v>27.316159250587248</c:v>
                </c:pt>
                <c:pt idx="7">
                  <c:v>36.590163934428034</c:v>
                </c:pt>
                <c:pt idx="8">
                  <c:v>43.840749414520786</c:v>
                </c:pt>
              </c:numCache>
            </c:numRef>
          </c:xVal>
          <c:yVal>
            <c:numRef>
              <c:f>Continuous!$BB$4:$BB$12</c:f>
              <c:numCache>
                <c:formatCode>0%</c:formatCode>
                <c:ptCount val="9"/>
                <c:pt idx="0">
                  <c:v>1</c:v>
                </c:pt>
                <c:pt idx="1">
                  <c:v>0.13331779124758561</c:v>
                </c:pt>
                <c:pt idx="2">
                  <c:v>0.71897688669819215</c:v>
                </c:pt>
                <c:pt idx="3">
                  <c:v>0.74758542596416111</c:v>
                </c:pt>
                <c:pt idx="4">
                  <c:v>0.13628188902950802</c:v>
                </c:pt>
                <c:pt idx="5">
                  <c:v>0.42113501631919115</c:v>
                </c:pt>
                <c:pt idx="6">
                  <c:v>0.62142809565043777</c:v>
                </c:pt>
                <c:pt idx="7">
                  <c:v>0.25351362152800883</c:v>
                </c:pt>
                <c:pt idx="8">
                  <c:v>0.85222806900686199</c:v>
                </c:pt>
              </c:numCache>
            </c:numRef>
          </c:yVal>
          <c:smooth val="0"/>
          <c:extLst>
            <c:ext xmlns:c16="http://schemas.microsoft.com/office/drawing/2014/chart" uri="{C3380CC4-5D6E-409C-BE32-E72D297353CC}">
              <c16:uniqueId val="{0000001F-3D18-434C-AE86-C364222C5A98}"/>
            </c:ext>
          </c:extLst>
        </c:ser>
        <c:ser>
          <c:idx val="7"/>
          <c:order val="4"/>
          <c:tx>
            <c:strRef>
              <c:f>Continuous!$BH$1</c:f>
              <c:strCache>
                <c:ptCount val="1"/>
                <c:pt idx="0">
                  <c:v>Calbuco 2015 Umbrella</c:v>
                </c:pt>
              </c:strCache>
            </c:strRef>
          </c:tx>
          <c:spPr>
            <a:ln w="19050" cap="rnd">
              <a:solidFill>
                <a:schemeClr val="accent2">
                  <a:lumMod val="60000"/>
                </a:schemeClr>
              </a:solidFill>
              <a:round/>
            </a:ln>
            <a:effectLst/>
          </c:spPr>
          <c:marker>
            <c:symbol val="none"/>
          </c:marker>
          <c:xVal>
            <c:numRef>
              <c:f>Continuous!$BK$4:$BK$19</c:f>
              <c:numCache>
                <c:formatCode>General</c:formatCode>
                <c:ptCount val="16"/>
                <c:pt idx="0">
                  <c:v>0</c:v>
                </c:pt>
                <c:pt idx="1">
                  <c:v>0.53038674033118127</c:v>
                </c:pt>
                <c:pt idx="2">
                  <c:v>1.0607734806624478</c:v>
                </c:pt>
                <c:pt idx="3">
                  <c:v>1.558011049723234</c:v>
                </c:pt>
                <c:pt idx="4">
                  <c:v>2.3535911602200486</c:v>
                </c:pt>
                <c:pt idx="5">
                  <c:v>6.8950276243079998</c:v>
                </c:pt>
                <c:pt idx="6">
                  <c:v>7.0939226519328429</c:v>
                </c:pt>
                <c:pt idx="7">
                  <c:v>7.558011049723234</c:v>
                </c:pt>
                <c:pt idx="8">
                  <c:v>8.0883977900544153</c:v>
                </c:pt>
                <c:pt idx="9">
                  <c:v>8.5856353591152015</c:v>
                </c:pt>
                <c:pt idx="10">
                  <c:v>9.5469613259663788</c:v>
                </c:pt>
                <c:pt idx="11">
                  <c:v>10.077348066297645</c:v>
                </c:pt>
                <c:pt idx="12">
                  <c:v>10.574585635358432</c:v>
                </c:pt>
                <c:pt idx="13">
                  <c:v>11.071823204419218</c:v>
                </c:pt>
                <c:pt idx="14">
                  <c:v>11.535911602209609</c:v>
                </c:pt>
                <c:pt idx="15">
                  <c:v>13.013701657459251</c:v>
                </c:pt>
              </c:numCache>
            </c:numRef>
          </c:xVal>
          <c:yVal>
            <c:numRef>
              <c:f>Continuous!$BL$4:$BL$19</c:f>
              <c:numCache>
                <c:formatCode>0%</c:formatCode>
                <c:ptCount val="16"/>
                <c:pt idx="0">
                  <c:v>0</c:v>
                </c:pt>
                <c:pt idx="1">
                  <c:v>1</c:v>
                </c:pt>
                <c:pt idx="2">
                  <c:v>0.57142857142857006</c:v>
                </c:pt>
                <c:pt idx="3">
                  <c:v>0.47619047619047661</c:v>
                </c:pt>
                <c:pt idx="4">
                  <c:v>0</c:v>
                </c:pt>
                <c:pt idx="5">
                  <c:v>0</c:v>
                </c:pt>
                <c:pt idx="6">
                  <c:v>0.57142857142856995</c:v>
                </c:pt>
                <c:pt idx="7">
                  <c:v>0.80952380952381009</c:v>
                </c:pt>
                <c:pt idx="8">
                  <c:v>0.59523809523809657</c:v>
                </c:pt>
                <c:pt idx="9">
                  <c:v>0.47619047619047333</c:v>
                </c:pt>
                <c:pt idx="10">
                  <c:v>0.7380952380952398</c:v>
                </c:pt>
                <c:pt idx="11">
                  <c:v>0.35714285714284366</c:v>
                </c:pt>
                <c:pt idx="12">
                  <c:v>0.28571428571429985</c:v>
                </c:pt>
                <c:pt idx="13">
                  <c:v>0.30952380952379976</c:v>
                </c:pt>
                <c:pt idx="14">
                  <c:v>0.30952380952379976</c:v>
                </c:pt>
                <c:pt idx="15">
                  <c:v>0</c:v>
                </c:pt>
              </c:numCache>
            </c:numRef>
          </c:yVal>
          <c:smooth val="0"/>
          <c:extLst>
            <c:ext xmlns:c16="http://schemas.microsoft.com/office/drawing/2014/chart" uri="{C3380CC4-5D6E-409C-BE32-E72D297353CC}">
              <c16:uniqueId val="{00000020-3D18-434C-AE86-C364222C5A98}"/>
            </c:ext>
          </c:extLst>
        </c:ser>
        <c:ser>
          <c:idx val="8"/>
          <c:order val="5"/>
          <c:tx>
            <c:strRef>
              <c:f>Continuous!$BM$1</c:f>
              <c:strCache>
                <c:ptCount val="1"/>
                <c:pt idx="0">
                  <c:v>Grimsvotn 2011 Volume</c:v>
                </c:pt>
              </c:strCache>
            </c:strRef>
          </c:tx>
          <c:spPr>
            <a:ln w="19050" cap="rnd">
              <a:solidFill>
                <a:schemeClr val="accent4"/>
              </a:solidFill>
              <a:round/>
            </a:ln>
            <a:effectLst/>
          </c:spPr>
          <c:marker>
            <c:symbol val="none"/>
          </c:marker>
          <c:xVal>
            <c:numRef>
              <c:f>Continuous!$BO$4:$BO$50</c:f>
              <c:numCache>
                <c:formatCode>General</c:formatCode>
                <c:ptCount val="47"/>
                <c:pt idx="0">
                  <c:v>0</c:v>
                </c:pt>
                <c:pt idx="1">
                  <c:v>0.58434782608566138</c:v>
                </c:pt>
                <c:pt idx="2">
                  <c:v>1.0017391304327816</c:v>
                </c:pt>
                <c:pt idx="3">
                  <c:v>1.4191304347824598</c:v>
                </c:pt>
                <c:pt idx="4">
                  <c:v>1.9408695652152517</c:v>
                </c:pt>
                <c:pt idx="5">
                  <c:v>2.3582608695648446</c:v>
                </c:pt>
                <c:pt idx="6">
                  <c:v>2.8800000000000239</c:v>
                </c:pt>
                <c:pt idx="7">
                  <c:v>3.088695652173584</c:v>
                </c:pt>
                <c:pt idx="8">
                  <c:v>3.5060869565207895</c:v>
                </c:pt>
                <c:pt idx="9">
                  <c:v>3.7147826086944349</c:v>
                </c:pt>
                <c:pt idx="10">
                  <c:v>4.6539130434768197</c:v>
                </c:pt>
                <c:pt idx="11">
                  <c:v>4.7582608695647934</c:v>
                </c:pt>
                <c:pt idx="12">
                  <c:v>5.3843478260856443</c:v>
                </c:pt>
                <c:pt idx="13">
                  <c:v>6.1147826086943837</c:v>
                </c:pt>
                <c:pt idx="14">
                  <c:v>6.4278260869560029</c:v>
                </c:pt>
                <c:pt idx="15">
                  <c:v>7.0539130434768538</c:v>
                </c:pt>
                <c:pt idx="16">
                  <c:v>7.6800000000000068</c:v>
                </c:pt>
                <c:pt idx="17">
                  <c:v>7.7843478260855932</c:v>
                </c:pt>
                <c:pt idx="18">
                  <c:v>8.4104347826064441</c:v>
                </c:pt>
                <c:pt idx="19">
                  <c:v>10.393043478259187</c:v>
                </c:pt>
                <c:pt idx="20">
                  <c:v>11.019130434782426</c:v>
                </c:pt>
                <c:pt idx="21">
                  <c:v>11.332173913041657</c:v>
                </c:pt>
                <c:pt idx="22">
                  <c:v>13.523478260868046</c:v>
                </c:pt>
                <c:pt idx="23">
                  <c:v>14.358260869564845</c:v>
                </c:pt>
                <c:pt idx="24">
                  <c:v>14.77565217391205</c:v>
                </c:pt>
                <c:pt idx="25">
                  <c:v>15.610434782606461</c:v>
                </c:pt>
                <c:pt idx="26">
                  <c:v>16.236521739129614</c:v>
                </c:pt>
                <c:pt idx="27">
                  <c:v>18.740869565215235</c:v>
                </c:pt>
                <c:pt idx="28">
                  <c:v>19.366956521738388</c:v>
                </c:pt>
                <c:pt idx="29">
                  <c:v>20.097391304347212</c:v>
                </c:pt>
                <c:pt idx="30">
                  <c:v>21.453913043476803</c:v>
                </c:pt>
                <c:pt idx="31">
                  <c:v>23.019130434782426</c:v>
                </c:pt>
                <c:pt idx="32">
                  <c:v>30.845217391303208</c:v>
                </c:pt>
                <c:pt idx="33">
                  <c:v>31.784347826085593</c:v>
                </c:pt>
                <c:pt idx="34">
                  <c:v>33.766956521738422</c:v>
                </c:pt>
                <c:pt idx="35">
                  <c:v>34.601739130432833</c:v>
                </c:pt>
                <c:pt idx="36">
                  <c:v>36.793043478259222</c:v>
                </c:pt>
                <c:pt idx="37">
                  <c:v>37.523478260868046</c:v>
                </c:pt>
                <c:pt idx="38">
                  <c:v>38.98434782608561</c:v>
                </c:pt>
                <c:pt idx="39">
                  <c:v>40.236521739129614</c:v>
                </c:pt>
                <c:pt idx="40">
                  <c:v>41.488695652173618</c:v>
                </c:pt>
                <c:pt idx="41">
                  <c:v>42.01043478260641</c:v>
                </c:pt>
                <c:pt idx="42">
                  <c:v>43.053913043476854</c:v>
                </c:pt>
                <c:pt idx="43">
                  <c:v>44.410434782606444</c:v>
                </c:pt>
                <c:pt idx="44">
                  <c:v>45.662608695650448</c:v>
                </c:pt>
                <c:pt idx="45">
                  <c:v>47.332173913041657</c:v>
                </c:pt>
                <c:pt idx="46">
                  <c:v>50.566956521738405</c:v>
                </c:pt>
              </c:numCache>
            </c:numRef>
          </c:xVal>
          <c:yVal>
            <c:numRef>
              <c:f>Continuous!$BP$4:$BP$50</c:f>
              <c:numCache>
                <c:formatCode>0%</c:formatCode>
                <c:ptCount val="47"/>
                <c:pt idx="0">
                  <c:v>0.4850393700787396</c:v>
                </c:pt>
                <c:pt idx="1">
                  <c:v>0.50393700787401574</c:v>
                </c:pt>
                <c:pt idx="2">
                  <c:v>1</c:v>
                </c:pt>
                <c:pt idx="3">
                  <c:v>0.33385826771653498</c:v>
                </c:pt>
                <c:pt idx="4">
                  <c:v>0.37637795275590546</c:v>
                </c:pt>
                <c:pt idx="5">
                  <c:v>0.26299212598425198</c:v>
                </c:pt>
                <c:pt idx="6">
                  <c:v>0.20629921259842468</c:v>
                </c:pt>
                <c:pt idx="7">
                  <c:v>0.35748031496062932</c:v>
                </c:pt>
                <c:pt idx="8">
                  <c:v>0.39055118110236225</c:v>
                </c:pt>
                <c:pt idx="9">
                  <c:v>0.4850393700787396</c:v>
                </c:pt>
                <c:pt idx="10">
                  <c:v>0.31023622047244065</c:v>
                </c:pt>
                <c:pt idx="11">
                  <c:v>0.81102362204724432</c:v>
                </c:pt>
                <c:pt idx="12">
                  <c:v>0.4850393700787396</c:v>
                </c:pt>
                <c:pt idx="13">
                  <c:v>0.21574803149606217</c:v>
                </c:pt>
                <c:pt idx="14">
                  <c:v>0.13070866141732237</c:v>
                </c:pt>
                <c:pt idx="15">
                  <c:v>9.7637795275590564E-2</c:v>
                </c:pt>
                <c:pt idx="16">
                  <c:v>0.63149606299212602</c:v>
                </c:pt>
                <c:pt idx="17">
                  <c:v>0.80157480314960683</c:v>
                </c:pt>
                <c:pt idx="18">
                  <c:v>0.49448818897637825</c:v>
                </c:pt>
                <c:pt idx="19">
                  <c:v>0.4850393700787396</c:v>
                </c:pt>
                <c:pt idx="20">
                  <c:v>0.1637795275590542</c:v>
                </c:pt>
                <c:pt idx="21">
                  <c:v>0.11181102362204741</c:v>
                </c:pt>
                <c:pt idx="22">
                  <c:v>9.7637795275590564E-2</c:v>
                </c:pt>
                <c:pt idx="23">
                  <c:v>0.47559055118110211</c:v>
                </c:pt>
                <c:pt idx="24">
                  <c:v>0.48976377952755895</c:v>
                </c:pt>
                <c:pt idx="25">
                  <c:v>0.12598425196850302</c:v>
                </c:pt>
                <c:pt idx="26">
                  <c:v>0.10236220472440943</c:v>
                </c:pt>
                <c:pt idx="27">
                  <c:v>9.2913385826771833E-2</c:v>
                </c:pt>
                <c:pt idx="28">
                  <c:v>0.46614173228346462</c:v>
                </c:pt>
                <c:pt idx="29">
                  <c:v>0.19685039370078719</c:v>
                </c:pt>
                <c:pt idx="30">
                  <c:v>1.7322834645669288E-2</c:v>
                </c:pt>
                <c:pt idx="31">
                  <c:v>6.9291338582677039E-2</c:v>
                </c:pt>
                <c:pt idx="32">
                  <c:v>8.8188976377952852E-2</c:v>
                </c:pt>
                <c:pt idx="33">
                  <c:v>3.6220472440944861E-2</c:v>
                </c:pt>
                <c:pt idx="34">
                  <c:v>3.1496062992126116E-2</c:v>
                </c:pt>
                <c:pt idx="35">
                  <c:v>4.5669291338582468E-2</c:v>
                </c:pt>
                <c:pt idx="36">
                  <c:v>3.1496062992126116E-2</c:v>
                </c:pt>
                <c:pt idx="37">
                  <c:v>5.9842519685039425E-2</c:v>
                </c:pt>
                <c:pt idx="38">
                  <c:v>3.1496062992126116E-2</c:v>
                </c:pt>
                <c:pt idx="39">
                  <c:v>3.1496062992126116E-2</c:v>
                </c:pt>
                <c:pt idx="40">
                  <c:v>2.6771653543307138E-2</c:v>
                </c:pt>
                <c:pt idx="41">
                  <c:v>6.9291338582677039E-2</c:v>
                </c:pt>
                <c:pt idx="42">
                  <c:v>1.7322834645669288E-2</c:v>
                </c:pt>
                <c:pt idx="43">
                  <c:v>7.8740157480314283E-3</c:v>
                </c:pt>
                <c:pt idx="44">
                  <c:v>7.8740157480314283E-3</c:v>
                </c:pt>
                <c:pt idx="45">
                  <c:v>2.2047244094488272E-2</c:v>
                </c:pt>
                <c:pt idx="46">
                  <c:v>4.0944881889763848E-2</c:v>
                </c:pt>
              </c:numCache>
            </c:numRef>
          </c:yVal>
          <c:smooth val="0"/>
          <c:extLst>
            <c:ext xmlns:c16="http://schemas.microsoft.com/office/drawing/2014/chart" uri="{C3380CC4-5D6E-409C-BE32-E72D297353CC}">
              <c16:uniqueId val="{00000021-3D18-434C-AE86-C364222C5A98}"/>
            </c:ext>
          </c:extLst>
        </c:ser>
        <c:ser>
          <c:idx val="9"/>
          <c:order val="6"/>
          <c:tx>
            <c:strRef>
              <c:f>Continuous!$BQ$1</c:f>
              <c:strCache>
                <c:ptCount val="1"/>
                <c:pt idx="0">
                  <c:v>Grimsvotn 2011 Density</c:v>
                </c:pt>
              </c:strCache>
            </c:strRef>
          </c:tx>
          <c:spPr>
            <a:ln w="19050" cap="rnd">
              <a:solidFill>
                <a:schemeClr val="accent4">
                  <a:lumMod val="40000"/>
                  <a:lumOff val="60000"/>
                </a:schemeClr>
              </a:solidFill>
              <a:round/>
            </a:ln>
            <a:effectLst/>
          </c:spPr>
          <c:marker>
            <c:symbol val="none"/>
          </c:marker>
          <c:xVal>
            <c:numRef>
              <c:f>Continuous!$BS$4:$BS$61</c:f>
              <c:numCache>
                <c:formatCode>General</c:formatCode>
                <c:ptCount val="58"/>
                <c:pt idx="0">
                  <c:v>0</c:v>
                </c:pt>
                <c:pt idx="1">
                  <c:v>6.2608695650396839E-2</c:v>
                </c:pt>
                <c:pt idx="2">
                  <c:v>0.27130434782404222</c:v>
                </c:pt>
                <c:pt idx="3">
                  <c:v>0.68869565217363515</c:v>
                </c:pt>
                <c:pt idx="4">
                  <c:v>1.1060869565208407</c:v>
                </c:pt>
                <c:pt idx="5">
                  <c:v>1.4191304347824598</c:v>
                </c:pt>
                <c:pt idx="6">
                  <c:v>1.8365217391296653</c:v>
                </c:pt>
                <c:pt idx="7">
                  <c:v>2.9843478260856102</c:v>
                </c:pt>
                <c:pt idx="8">
                  <c:v>3.5060869565207895</c:v>
                </c:pt>
                <c:pt idx="9">
                  <c:v>4.9669565217384388</c:v>
                </c:pt>
                <c:pt idx="10">
                  <c:v>5.3843478260856443</c:v>
                </c:pt>
                <c:pt idx="11">
                  <c:v>5.9060869565208236</c:v>
                </c:pt>
                <c:pt idx="12">
                  <c:v>6.1147826086943837</c:v>
                </c:pt>
                <c:pt idx="13">
                  <c:v>6.7408695652152346</c:v>
                </c:pt>
                <c:pt idx="14">
                  <c:v>7.2626086956504139</c:v>
                </c:pt>
                <c:pt idx="15">
                  <c:v>7.6800000000000068</c:v>
                </c:pt>
                <c:pt idx="16">
                  <c:v>8.2017391304327987</c:v>
                </c:pt>
                <c:pt idx="17">
                  <c:v>8.827826086956037</c:v>
                </c:pt>
                <c:pt idx="18">
                  <c:v>9.3495652173912163</c:v>
                </c:pt>
                <c:pt idx="19">
                  <c:v>10.393043478259187</c:v>
                </c:pt>
                <c:pt idx="20">
                  <c:v>10.706086956520807</c:v>
                </c:pt>
                <c:pt idx="21">
                  <c:v>11.227826086955986</c:v>
                </c:pt>
                <c:pt idx="22">
                  <c:v>11.645217391303191</c:v>
                </c:pt>
                <c:pt idx="23">
                  <c:v>12.688695652173635</c:v>
                </c:pt>
                <c:pt idx="24">
                  <c:v>13.41913043478246</c:v>
                </c:pt>
                <c:pt idx="25">
                  <c:v>14.045217391303225</c:v>
                </c:pt>
                <c:pt idx="26">
                  <c:v>14.98434782608561</c:v>
                </c:pt>
                <c:pt idx="27">
                  <c:v>15.923478260867995</c:v>
                </c:pt>
                <c:pt idx="28">
                  <c:v>16.862608695650465</c:v>
                </c:pt>
                <c:pt idx="29">
                  <c:v>17.280000000000058</c:v>
                </c:pt>
                <c:pt idx="30">
                  <c:v>18.740869565215235</c:v>
                </c:pt>
                <c:pt idx="31">
                  <c:v>19.053913043476854</c:v>
                </c:pt>
                <c:pt idx="32">
                  <c:v>21.349565217391216</c:v>
                </c:pt>
                <c:pt idx="33">
                  <c:v>22.810434782606393</c:v>
                </c:pt>
                <c:pt idx="34">
                  <c:v>23.540869565215218</c:v>
                </c:pt>
                <c:pt idx="35">
                  <c:v>25.001739130432782</c:v>
                </c:pt>
                <c:pt idx="36">
                  <c:v>26.880000000000024</c:v>
                </c:pt>
                <c:pt idx="37">
                  <c:v>28.549565217391233</c:v>
                </c:pt>
                <c:pt idx="38">
                  <c:v>29.593043478259204</c:v>
                </c:pt>
                <c:pt idx="39">
                  <c:v>30.427826086956003</c:v>
                </c:pt>
                <c:pt idx="40">
                  <c:v>31.262608695650414</c:v>
                </c:pt>
                <c:pt idx="41">
                  <c:v>32.201739130432799</c:v>
                </c:pt>
                <c:pt idx="42">
                  <c:v>36.47999999999999</c:v>
                </c:pt>
                <c:pt idx="43">
                  <c:v>37.106086956520841</c:v>
                </c:pt>
                <c:pt idx="44">
                  <c:v>37.41913043478246</c:v>
                </c:pt>
                <c:pt idx="45">
                  <c:v>37.836521739129665</c:v>
                </c:pt>
                <c:pt idx="46">
                  <c:v>38.566956521738405</c:v>
                </c:pt>
                <c:pt idx="47">
                  <c:v>39.297391304347229</c:v>
                </c:pt>
                <c:pt idx="48">
                  <c:v>41.280000000000058</c:v>
                </c:pt>
                <c:pt idx="49">
                  <c:v>41.80173913043285</c:v>
                </c:pt>
                <c:pt idx="50">
                  <c:v>42.219130434782443</c:v>
                </c:pt>
                <c:pt idx="51">
                  <c:v>42.845217391303208</c:v>
                </c:pt>
                <c:pt idx="52">
                  <c:v>45.766956521738422</c:v>
                </c:pt>
                <c:pt idx="53">
                  <c:v>47.332173913041657</c:v>
                </c:pt>
                <c:pt idx="54">
                  <c:v>47.74956521739125</c:v>
                </c:pt>
                <c:pt idx="55">
                  <c:v>48.166956521738456</c:v>
                </c:pt>
                <c:pt idx="56">
                  <c:v>49.106086956520841</c:v>
                </c:pt>
                <c:pt idx="57">
                  <c:v>50.149565217391199</c:v>
                </c:pt>
              </c:numCache>
            </c:numRef>
          </c:xVal>
          <c:yVal>
            <c:numRef>
              <c:f>Continuous!$BT$4:$BT$61</c:f>
              <c:numCache>
                <c:formatCode>0%</c:formatCode>
                <c:ptCount val="58"/>
                <c:pt idx="0">
                  <c:v>0.36084452975047931</c:v>
                </c:pt>
                <c:pt idx="1">
                  <c:v>0.59117082533589338</c:v>
                </c:pt>
                <c:pt idx="2">
                  <c:v>0.76967370441458738</c:v>
                </c:pt>
                <c:pt idx="3">
                  <c:v>0.61420345489443373</c:v>
                </c:pt>
                <c:pt idx="4">
                  <c:v>1</c:v>
                </c:pt>
                <c:pt idx="5">
                  <c:v>0.46449136276391462</c:v>
                </c:pt>
                <c:pt idx="6">
                  <c:v>0.47024952015355048</c:v>
                </c:pt>
                <c:pt idx="7">
                  <c:v>0.37811900191938547</c:v>
                </c:pt>
                <c:pt idx="8">
                  <c:v>0.49904030710172681</c:v>
                </c:pt>
                <c:pt idx="9">
                  <c:v>0.79846449136276387</c:v>
                </c:pt>
                <c:pt idx="10">
                  <c:v>0.55086372360844527</c:v>
                </c:pt>
                <c:pt idx="11">
                  <c:v>0.35508637236084351</c:v>
                </c:pt>
                <c:pt idx="12">
                  <c:v>0.48176583493282221</c:v>
                </c:pt>
                <c:pt idx="13">
                  <c:v>0.63147792706333994</c:v>
                </c:pt>
                <c:pt idx="14">
                  <c:v>0.5105566218809986</c:v>
                </c:pt>
                <c:pt idx="15">
                  <c:v>0.7063339731285988</c:v>
                </c:pt>
                <c:pt idx="16">
                  <c:v>0.54510556621880935</c:v>
                </c:pt>
                <c:pt idx="17">
                  <c:v>0.58541266794625746</c:v>
                </c:pt>
                <c:pt idx="18">
                  <c:v>0.65451055662188051</c:v>
                </c:pt>
                <c:pt idx="19">
                  <c:v>0.39539347408829162</c:v>
                </c:pt>
                <c:pt idx="20">
                  <c:v>0.45297504798464433</c:v>
                </c:pt>
                <c:pt idx="21">
                  <c:v>0.38387715930902133</c:v>
                </c:pt>
                <c:pt idx="22">
                  <c:v>0.46449136276391462</c:v>
                </c:pt>
                <c:pt idx="23">
                  <c:v>0.17082533589251347</c:v>
                </c:pt>
                <c:pt idx="24">
                  <c:v>0.21113243761996159</c:v>
                </c:pt>
                <c:pt idx="25">
                  <c:v>0.17082533589251347</c:v>
                </c:pt>
                <c:pt idx="26">
                  <c:v>0.4414587332053741</c:v>
                </c:pt>
                <c:pt idx="27">
                  <c:v>0.23992322456813794</c:v>
                </c:pt>
                <c:pt idx="28">
                  <c:v>0.25719769673704262</c:v>
                </c:pt>
                <c:pt idx="29">
                  <c:v>0.17082533589251347</c:v>
                </c:pt>
                <c:pt idx="30">
                  <c:v>0.19961612284068989</c:v>
                </c:pt>
                <c:pt idx="31">
                  <c:v>0.30902111324376103</c:v>
                </c:pt>
                <c:pt idx="32">
                  <c:v>3.8387715930900674E-3</c:v>
                </c:pt>
                <c:pt idx="33">
                  <c:v>9.5969289827254455E-3</c:v>
                </c:pt>
                <c:pt idx="34">
                  <c:v>5.5662188099807816E-2</c:v>
                </c:pt>
                <c:pt idx="35">
                  <c:v>6.1420345489442654E-2</c:v>
                </c:pt>
                <c:pt idx="36">
                  <c:v>6.7178502879078658E-2</c:v>
                </c:pt>
                <c:pt idx="37">
                  <c:v>7.2936660268714079E-2</c:v>
                </c:pt>
                <c:pt idx="38">
                  <c:v>7.2936660268714079E-2</c:v>
                </c:pt>
                <c:pt idx="39">
                  <c:v>7.8694817658349361E-2</c:v>
                </c:pt>
                <c:pt idx="40">
                  <c:v>0.11900191938579657</c:v>
                </c:pt>
                <c:pt idx="41">
                  <c:v>2.1113243761995575E-2</c:v>
                </c:pt>
                <c:pt idx="42">
                  <c:v>1.5355086372360736E-2</c:v>
                </c:pt>
                <c:pt idx="43">
                  <c:v>1.5355086372360736E-2</c:v>
                </c:pt>
                <c:pt idx="44">
                  <c:v>9.0211132437619621E-2</c:v>
                </c:pt>
                <c:pt idx="45">
                  <c:v>1.5355086372360736E-2</c:v>
                </c:pt>
                <c:pt idx="46">
                  <c:v>2.6871401151630999E-2</c:v>
                </c:pt>
                <c:pt idx="47">
                  <c:v>4.9904030710172534E-2</c:v>
                </c:pt>
                <c:pt idx="48">
                  <c:v>5.5662188099807816E-2</c:v>
                </c:pt>
                <c:pt idx="49">
                  <c:v>1.5355086372360736E-2</c:v>
                </c:pt>
                <c:pt idx="50">
                  <c:v>0.14779270633397296</c:v>
                </c:pt>
                <c:pt idx="51">
                  <c:v>9.5969289827254455E-3</c:v>
                </c:pt>
                <c:pt idx="52">
                  <c:v>2.1113243761995575E-2</c:v>
                </c:pt>
                <c:pt idx="53">
                  <c:v>3.8387715930902275E-2</c:v>
                </c:pt>
                <c:pt idx="54">
                  <c:v>3.2629558541266861E-2</c:v>
                </c:pt>
                <c:pt idx="55">
                  <c:v>0.10748560460652573</c:v>
                </c:pt>
                <c:pt idx="56">
                  <c:v>9.5969289827255042E-2</c:v>
                </c:pt>
                <c:pt idx="57">
                  <c:v>0.12476007677543186</c:v>
                </c:pt>
              </c:numCache>
            </c:numRef>
          </c:yVal>
          <c:smooth val="0"/>
          <c:extLst>
            <c:ext xmlns:c16="http://schemas.microsoft.com/office/drawing/2014/chart" uri="{C3380CC4-5D6E-409C-BE32-E72D297353CC}">
              <c16:uniqueId val="{00000022-3D18-434C-AE86-C364222C5A98}"/>
            </c:ext>
          </c:extLst>
        </c:ser>
        <c:ser>
          <c:idx val="10"/>
          <c:order val="7"/>
          <c:tx>
            <c:strRef>
              <c:f>Continuous!$CA$1</c:f>
              <c:strCache>
                <c:ptCount val="1"/>
                <c:pt idx="0">
                  <c:v>Kelud 2014 Mass1</c:v>
                </c:pt>
              </c:strCache>
            </c:strRef>
          </c:tx>
          <c:spPr>
            <a:ln w="19050" cap="rnd">
              <a:solidFill>
                <a:schemeClr val="accent6"/>
              </a:solidFill>
              <a:round/>
            </a:ln>
            <a:effectLst/>
          </c:spPr>
          <c:marker>
            <c:symbol val="none"/>
          </c:marker>
          <c:xVal>
            <c:numRef>
              <c:f>Continuous!$CC$4:$CC$17</c:f>
              <c:numCache>
                <c:formatCode>General</c:formatCode>
                <c:ptCount val="14"/>
                <c:pt idx="0">
                  <c:v>0</c:v>
                </c:pt>
                <c:pt idx="1">
                  <c:v>0.16603773584910186</c:v>
                </c:pt>
                <c:pt idx="2">
                  <c:v>0.81509433962269995</c:v>
                </c:pt>
                <c:pt idx="3">
                  <c:v>0.99622641509440157</c:v>
                </c:pt>
                <c:pt idx="4">
                  <c:v>1.1622641509434004</c:v>
                </c:pt>
                <c:pt idx="5">
                  <c:v>1.3283018867925023</c:v>
                </c:pt>
                <c:pt idx="6">
                  <c:v>1.4943396226416006</c:v>
                </c:pt>
                <c:pt idx="7">
                  <c:v>1.660377358490603</c:v>
                </c:pt>
                <c:pt idx="8">
                  <c:v>1.9924528301887001</c:v>
                </c:pt>
                <c:pt idx="9">
                  <c:v>2.158490566037802</c:v>
                </c:pt>
                <c:pt idx="10">
                  <c:v>2.3245283018868008</c:v>
                </c:pt>
                <c:pt idx="11">
                  <c:v>2.4905660377359027</c:v>
                </c:pt>
                <c:pt idx="12">
                  <c:v>2.656603773585001</c:v>
                </c:pt>
                <c:pt idx="13">
                  <c:v>2.8226415094339998</c:v>
                </c:pt>
              </c:numCache>
            </c:numRef>
          </c:xVal>
          <c:yVal>
            <c:numRef>
              <c:f>Continuous!$CD$4:$CD$17</c:f>
              <c:numCache>
                <c:formatCode>0%</c:formatCode>
                <c:ptCount val="14"/>
                <c:pt idx="0">
                  <c:v>0</c:v>
                </c:pt>
                <c:pt idx="1">
                  <c:v>0.226114649681529</c:v>
                </c:pt>
                <c:pt idx="2">
                  <c:v>0.87579617834395063</c:v>
                </c:pt>
                <c:pt idx="3">
                  <c:v>0.88535031847133605</c:v>
                </c:pt>
                <c:pt idx="4">
                  <c:v>0.86146496815286289</c:v>
                </c:pt>
                <c:pt idx="5">
                  <c:v>0.9331210191082826</c:v>
                </c:pt>
                <c:pt idx="6">
                  <c:v>0.92356687898089074</c:v>
                </c:pt>
                <c:pt idx="7">
                  <c:v>1</c:v>
                </c:pt>
                <c:pt idx="8">
                  <c:v>0.86146496815286289</c:v>
                </c:pt>
                <c:pt idx="9">
                  <c:v>0.88057324840764017</c:v>
                </c:pt>
                <c:pt idx="10">
                  <c:v>0.83757961783439605</c:v>
                </c:pt>
                <c:pt idx="11">
                  <c:v>0.84713375796178148</c:v>
                </c:pt>
                <c:pt idx="12">
                  <c:v>0.74681528662420527</c:v>
                </c:pt>
                <c:pt idx="13">
                  <c:v>0.66560509554140013</c:v>
                </c:pt>
              </c:numCache>
            </c:numRef>
          </c:yVal>
          <c:smooth val="0"/>
          <c:extLst>
            <c:ext xmlns:c16="http://schemas.microsoft.com/office/drawing/2014/chart" uri="{C3380CC4-5D6E-409C-BE32-E72D297353CC}">
              <c16:uniqueId val="{00000023-3D18-434C-AE86-C364222C5A98}"/>
            </c:ext>
          </c:extLst>
        </c:ser>
        <c:ser>
          <c:idx val="11"/>
          <c:order val="8"/>
          <c:tx>
            <c:strRef>
              <c:f>Continuous!$CF$1</c:f>
              <c:strCache>
                <c:ptCount val="1"/>
                <c:pt idx="0">
                  <c:v>Kelud 2014 Mass2</c:v>
                </c:pt>
              </c:strCache>
            </c:strRef>
          </c:tx>
          <c:spPr>
            <a:ln w="19050" cap="rnd">
              <a:solidFill>
                <a:schemeClr val="accent6">
                  <a:lumMod val="75000"/>
                </a:schemeClr>
              </a:solidFill>
              <a:round/>
            </a:ln>
            <a:effectLst/>
          </c:spPr>
          <c:marker>
            <c:symbol val="none"/>
          </c:marker>
          <c:xVal>
            <c:numRef>
              <c:f>Continuous!$CC$4:$CC$17</c:f>
              <c:numCache>
                <c:formatCode>General</c:formatCode>
                <c:ptCount val="14"/>
                <c:pt idx="0">
                  <c:v>0</c:v>
                </c:pt>
                <c:pt idx="1">
                  <c:v>0.16603773584910186</c:v>
                </c:pt>
                <c:pt idx="2">
                  <c:v>0.81509433962269995</c:v>
                </c:pt>
                <c:pt idx="3">
                  <c:v>0.99622641509440157</c:v>
                </c:pt>
                <c:pt idx="4">
                  <c:v>1.1622641509434004</c:v>
                </c:pt>
                <c:pt idx="5">
                  <c:v>1.3283018867925023</c:v>
                </c:pt>
                <c:pt idx="6">
                  <c:v>1.4943396226416006</c:v>
                </c:pt>
                <c:pt idx="7">
                  <c:v>1.660377358490603</c:v>
                </c:pt>
                <c:pt idx="8">
                  <c:v>1.9924528301887001</c:v>
                </c:pt>
                <c:pt idx="9">
                  <c:v>2.158490566037802</c:v>
                </c:pt>
                <c:pt idx="10">
                  <c:v>2.3245283018868008</c:v>
                </c:pt>
                <c:pt idx="11">
                  <c:v>2.4905660377359027</c:v>
                </c:pt>
                <c:pt idx="12">
                  <c:v>2.656603773585001</c:v>
                </c:pt>
                <c:pt idx="13">
                  <c:v>2.8226415094339998</c:v>
                </c:pt>
              </c:numCache>
            </c:numRef>
          </c:xVal>
          <c:yVal>
            <c:numRef>
              <c:f>Continuous!$CG$4:$CG$17</c:f>
              <c:numCache>
                <c:formatCode>0%</c:formatCode>
                <c:ptCount val="14"/>
                <c:pt idx="0">
                  <c:v>0</c:v>
                </c:pt>
                <c:pt idx="1">
                  <c:v>0.195544554455445</c:v>
                </c:pt>
                <c:pt idx="2">
                  <c:v>1.03465346534653</c:v>
                </c:pt>
                <c:pt idx="3">
                  <c:v>1.07920792079207</c:v>
                </c:pt>
                <c:pt idx="4">
                  <c:v>1.0272277227722699</c:v>
                </c:pt>
                <c:pt idx="5">
                  <c:v>0.98267326732673199</c:v>
                </c:pt>
                <c:pt idx="6">
                  <c:v>0.96782178217821802</c:v>
                </c:pt>
                <c:pt idx="7">
                  <c:v>1.0717821782178201</c:v>
                </c:pt>
                <c:pt idx="8">
                  <c:v>0.93811881188118795</c:v>
                </c:pt>
                <c:pt idx="9">
                  <c:v>0.908415841584158</c:v>
                </c:pt>
                <c:pt idx="10">
                  <c:v>0.85643564356435598</c:v>
                </c:pt>
                <c:pt idx="11">
                  <c:v>0.81930693069306904</c:v>
                </c:pt>
                <c:pt idx="12">
                  <c:v>0.76732673267326701</c:v>
                </c:pt>
                <c:pt idx="13">
                  <c:v>0.70792079207920799</c:v>
                </c:pt>
              </c:numCache>
            </c:numRef>
          </c:yVal>
          <c:smooth val="0"/>
          <c:extLst>
            <c:ext xmlns:c16="http://schemas.microsoft.com/office/drawing/2014/chart" uri="{C3380CC4-5D6E-409C-BE32-E72D297353CC}">
              <c16:uniqueId val="{00000024-3D18-434C-AE86-C364222C5A98}"/>
            </c:ext>
          </c:extLst>
        </c:ser>
        <c:ser>
          <c:idx val="0"/>
          <c:order val="9"/>
          <c:tx>
            <c:strRef>
              <c:f>Continuous!$CI$1</c:f>
              <c:strCache>
                <c:ptCount val="1"/>
                <c:pt idx="0">
                  <c:v>Fuji 1707 Mass</c:v>
                </c:pt>
              </c:strCache>
            </c:strRef>
          </c:tx>
          <c:spPr>
            <a:ln w="19050" cap="rnd">
              <a:solidFill>
                <a:schemeClr val="accent1"/>
              </a:solidFill>
              <a:round/>
            </a:ln>
            <a:effectLst/>
          </c:spPr>
          <c:marker>
            <c:symbol val="none"/>
          </c:marker>
          <c:xVal>
            <c:numRef>
              <c:f>Continuous!$CK$4:$CK$35</c:f>
              <c:numCache>
                <c:formatCode>General</c:formatCode>
                <c:ptCount val="32"/>
                <c:pt idx="0">
                  <c:v>0</c:v>
                </c:pt>
                <c:pt idx="1">
                  <c:v>0</c:v>
                </c:pt>
                <c:pt idx="2">
                  <c:v>4.8362720403024184</c:v>
                </c:pt>
                <c:pt idx="3">
                  <c:v>4.8362720403024184</c:v>
                </c:pt>
                <c:pt idx="4">
                  <c:v>6.7707808564248353</c:v>
                </c:pt>
                <c:pt idx="5">
                  <c:v>6.7707808564248353</c:v>
                </c:pt>
                <c:pt idx="6">
                  <c:v>24.181360201512007</c:v>
                </c:pt>
                <c:pt idx="7">
                  <c:v>24.181360201512007</c:v>
                </c:pt>
                <c:pt idx="8">
                  <c:v>29.984886649874397</c:v>
                </c:pt>
                <c:pt idx="9">
                  <c:v>29.984886649874397</c:v>
                </c:pt>
                <c:pt idx="10">
                  <c:v>92.856423173805666</c:v>
                </c:pt>
                <c:pt idx="11">
                  <c:v>92.856423173805666</c:v>
                </c:pt>
                <c:pt idx="12">
                  <c:v>99.627204030228029</c:v>
                </c:pt>
                <c:pt idx="13">
                  <c:v>99.627204030228029</c:v>
                </c:pt>
                <c:pt idx="14">
                  <c:v>115.10327455919526</c:v>
                </c:pt>
                <c:pt idx="15">
                  <c:v>115.10327455919526</c:v>
                </c:pt>
                <c:pt idx="16">
                  <c:v>125.74307304786007</c:v>
                </c:pt>
                <c:pt idx="17">
                  <c:v>125.74307304786007</c:v>
                </c:pt>
                <c:pt idx="18">
                  <c:v>139.28463476070726</c:v>
                </c:pt>
                <c:pt idx="19">
                  <c:v>139.28463476070726</c:v>
                </c:pt>
                <c:pt idx="20">
                  <c:v>176.04030226700402</c:v>
                </c:pt>
                <c:pt idx="21">
                  <c:v>176.04030226700402</c:v>
                </c:pt>
                <c:pt idx="22">
                  <c:v>187.6473551637288</c:v>
                </c:pt>
                <c:pt idx="23">
                  <c:v>187.6473551637288</c:v>
                </c:pt>
                <c:pt idx="24">
                  <c:v>200.22166246851603</c:v>
                </c:pt>
                <c:pt idx="25">
                  <c:v>200.22166246851603</c:v>
                </c:pt>
                <c:pt idx="26">
                  <c:v>221.50125944584565</c:v>
                </c:pt>
                <c:pt idx="27">
                  <c:v>221.50125944584565</c:v>
                </c:pt>
                <c:pt idx="28">
                  <c:v>282.43828715365441</c:v>
                </c:pt>
                <c:pt idx="29">
                  <c:v>282.43828715365441</c:v>
                </c:pt>
                <c:pt idx="30">
                  <c:v>379.16372795969994</c:v>
                </c:pt>
                <c:pt idx="31">
                  <c:v>379.16372795969994</c:v>
                </c:pt>
              </c:numCache>
            </c:numRef>
          </c:xVal>
          <c:yVal>
            <c:numRef>
              <c:f>Continuous!$CL$4:$CL$35</c:f>
              <c:numCache>
                <c:formatCode>0%</c:formatCode>
                <c:ptCount val="32"/>
                <c:pt idx="0">
                  <c:v>0</c:v>
                </c:pt>
                <c:pt idx="1">
                  <c:v>0.99992818499545211</c:v>
                </c:pt>
                <c:pt idx="2">
                  <c:v>1</c:v>
                </c:pt>
                <c:pt idx="3">
                  <c:v>7.0555848135203783E-2</c:v>
                </c:pt>
                <c:pt idx="4">
                  <c:v>7.0584574137023307E-2</c:v>
                </c:pt>
                <c:pt idx="5">
                  <c:v>0.76054004883420312</c:v>
                </c:pt>
                <c:pt idx="6">
                  <c:v>0.7607842198496676</c:v>
                </c:pt>
                <c:pt idx="7">
                  <c:v>5.3736774069996135E-2</c:v>
                </c:pt>
                <c:pt idx="8">
                  <c:v>5.3822952075453963E-2</c:v>
                </c:pt>
                <c:pt idx="9">
                  <c:v>0.15075884521472643</c:v>
                </c:pt>
                <c:pt idx="10">
                  <c:v>0.15167807727294463</c:v>
                </c:pt>
                <c:pt idx="11">
                  <c:v>1.4841767606645391E-2</c:v>
                </c:pt>
                <c:pt idx="12">
                  <c:v>1.4942308613012932E-2</c:v>
                </c:pt>
                <c:pt idx="13">
                  <c:v>0.19170776080815835</c:v>
                </c:pt>
                <c:pt idx="14">
                  <c:v>0.19193756882271268</c:v>
                </c:pt>
                <c:pt idx="15">
                  <c:v>1.5172116627567322E-2</c:v>
                </c:pt>
                <c:pt idx="16">
                  <c:v>1.5330109637573594E-2</c:v>
                </c:pt>
                <c:pt idx="17">
                  <c:v>5.5244889165509972E-2</c:v>
                </c:pt>
                <c:pt idx="18">
                  <c:v>5.5445971178245165E-2</c:v>
                </c:pt>
                <c:pt idx="19">
                  <c:v>3.8339637094843747E-2</c:v>
                </c:pt>
                <c:pt idx="20">
                  <c:v>3.8526356106669123E-2</c:v>
                </c:pt>
                <c:pt idx="21">
                  <c:v>0.32969311054723044</c:v>
                </c:pt>
                <c:pt idx="22">
                  <c:v>0.32986546655814586</c:v>
                </c:pt>
                <c:pt idx="23">
                  <c:v>1.6249341695791696E-2</c:v>
                </c:pt>
                <c:pt idx="24">
                  <c:v>1.6436060707617068E-2</c:v>
                </c:pt>
                <c:pt idx="25">
                  <c:v>6.775506295782098E-2</c:v>
                </c:pt>
                <c:pt idx="26">
                  <c:v>7.3758797338057375E-2</c:v>
                </c:pt>
                <c:pt idx="27">
                  <c:v>0.41589984200699015</c:v>
                </c:pt>
                <c:pt idx="28">
                  <c:v>0.41679034806338783</c:v>
                </c:pt>
                <c:pt idx="29">
                  <c:v>0.12029492028534509</c:v>
                </c:pt>
                <c:pt idx="30">
                  <c:v>0.12743333173744353</c:v>
                </c:pt>
                <c:pt idx="31">
                  <c:v>0</c:v>
                </c:pt>
              </c:numCache>
            </c:numRef>
          </c:yVal>
          <c:smooth val="0"/>
          <c:extLst>
            <c:ext xmlns:c16="http://schemas.microsoft.com/office/drawing/2014/chart" uri="{C3380CC4-5D6E-409C-BE32-E72D297353CC}">
              <c16:uniqueId val="{00000000-490C-4D97-881F-63413D88BE5D}"/>
            </c:ext>
          </c:extLst>
        </c:ser>
        <c:dLbls>
          <c:showLegendKey val="0"/>
          <c:showVal val="0"/>
          <c:showCatName val="0"/>
          <c:showSerName val="0"/>
          <c:showPercent val="0"/>
          <c:showBubbleSize val="0"/>
        </c:dLbls>
        <c:axId val="603993528"/>
        <c:axId val="603991608"/>
      </c:scatterChart>
      <c:valAx>
        <c:axId val="603993528"/>
        <c:scaling>
          <c:orientation val="minMax"/>
          <c:max val="6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ltLang="ja-JP"/>
                  <a:t>Time (hours)</a:t>
                </a:r>
                <a:endParaRPr lang="ja-JP" altLang="en-US"/>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603991608"/>
        <c:crosses val="autoZero"/>
        <c:crossBetween val="midCat"/>
      </c:valAx>
      <c:valAx>
        <c:axId val="603991608"/>
        <c:scaling>
          <c:orientation val="minMax"/>
          <c:max val="1.05"/>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ltLang="ja-JP"/>
                  <a:t>Relative intensity of</a:t>
                </a:r>
                <a:r>
                  <a:rPr lang="en-US" altLang="ja-JP" baseline="0"/>
                  <a:t> phenomena</a:t>
                </a:r>
                <a:endParaRPr lang="ja-JP" altLang="en-US"/>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603993528"/>
        <c:crosses val="autoZero"/>
        <c:crossBetween val="midCat"/>
      </c:valAx>
      <c:spPr>
        <a:noFill/>
        <a:ln>
          <a:noFill/>
        </a:ln>
        <a:effectLst/>
      </c:spPr>
    </c:plotArea>
    <c:legend>
      <c:legendPos val="b"/>
      <c:layout>
        <c:manualLayout>
          <c:xMode val="edge"/>
          <c:yMode val="edge"/>
          <c:x val="5.9167051898878373E-2"/>
          <c:y val="0.78078463484903815"/>
          <c:w val="0.88166589620224323"/>
          <c:h val="0.1911744747285858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3"/>
          <c:order val="0"/>
          <c:tx>
            <c:strRef>
              <c:f>Continuous!$W$1</c:f>
              <c:strCache>
                <c:ptCount val="1"/>
                <c:pt idx="0">
                  <c:v>Pinatubo 1991 Column</c:v>
                </c:pt>
              </c:strCache>
            </c:strRef>
          </c:tx>
          <c:spPr>
            <a:ln w="19050" cap="rnd">
              <a:solidFill>
                <a:schemeClr val="accent4"/>
              </a:solidFill>
              <a:round/>
            </a:ln>
            <a:effectLst/>
          </c:spPr>
          <c:marker>
            <c:symbol val="none"/>
          </c:marker>
          <c:xVal>
            <c:numRef>
              <c:f>Continuous!$Y$4:$Y$46</c:f>
              <c:numCache>
                <c:formatCode>General</c:formatCode>
                <c:ptCount val="43"/>
                <c:pt idx="0">
                  <c:v>-8.6331401985120095</c:v>
                </c:pt>
                <c:pt idx="1">
                  <c:v>-6.8465397022343808</c:v>
                </c:pt>
                <c:pt idx="2">
                  <c:v>-5.6140645161312079</c:v>
                </c:pt>
                <c:pt idx="3">
                  <c:v>-4.9301315136480071</c:v>
                </c:pt>
                <c:pt idx="4">
                  <c:v>-4.0200818858567828</c:v>
                </c:pt>
                <c:pt idx="5">
                  <c:v>-2.7610868486375892</c:v>
                </c:pt>
                <c:pt idx="6">
                  <c:v>0.45479404466398421</c:v>
                </c:pt>
                <c:pt idx="7">
                  <c:v>2.4228461538456116</c:v>
                </c:pt>
                <c:pt idx="8">
                  <c:v>4.5723498759288077</c:v>
                </c:pt>
                <c:pt idx="9">
                  <c:v>8.1650918114135891</c:v>
                </c:pt>
                <c:pt idx="10">
                  <c:v>9.0681625310160143</c:v>
                </c:pt>
                <c:pt idx="11">
                  <c:v>23.898342431759986</c:v>
                </c:pt>
                <c:pt idx="12">
                  <c:v>24.222163771711195</c:v>
                </c:pt>
                <c:pt idx="13">
                  <c:v>31.552808933001586</c:v>
                </c:pt>
                <c:pt idx="14">
                  <c:v>35.667573200990404</c:v>
                </c:pt>
                <c:pt idx="15">
                  <c:v>39.963789081885608</c:v>
                </c:pt>
                <c:pt idx="16">
                  <c:v>42.834911910669618</c:v>
                </c:pt>
                <c:pt idx="17">
                  <c:v>53.375854838709614</c:v>
                </c:pt>
                <c:pt idx="18">
                  <c:v>53.444248138955999</c:v>
                </c:pt>
                <c:pt idx="19">
                  <c:v>54.510625310171989</c:v>
                </c:pt>
                <c:pt idx="20">
                  <c:v>54.805135235731214</c:v>
                </c:pt>
                <c:pt idx="21">
                  <c:v>56.414471464017595</c:v>
                </c:pt>
                <c:pt idx="22">
                  <c:v>56.353057071960009</c:v>
                </c:pt>
                <c:pt idx="23">
                  <c:v>56.842976426798401</c:v>
                </c:pt>
                <c:pt idx="24">
                  <c:v>57.733485111662404</c:v>
                </c:pt>
                <c:pt idx="25">
                  <c:v>58.022411910669618</c:v>
                </c:pt>
                <c:pt idx="26">
                  <c:v>60.522256823820001</c:v>
                </c:pt>
                <c:pt idx="27">
                  <c:v>60.964719602976018</c:v>
                </c:pt>
                <c:pt idx="28">
                  <c:v>62.197194789081621</c:v>
                </c:pt>
                <c:pt idx="29">
                  <c:v>62.487517369725623</c:v>
                </c:pt>
                <c:pt idx="30">
                  <c:v>76.781717121588002</c:v>
                </c:pt>
                <c:pt idx="31">
                  <c:v>76.670054590569606</c:v>
                </c:pt>
                <c:pt idx="32">
                  <c:v>77.73364019850959</c:v>
                </c:pt>
                <c:pt idx="33">
                  <c:v>78.994031017368002</c:v>
                </c:pt>
                <c:pt idx="34">
                  <c:v>79.552343672455208</c:v>
                </c:pt>
                <c:pt idx="35">
                  <c:v>82.24201488833522</c:v>
                </c:pt>
                <c:pt idx="36">
                  <c:v>83.329328784117607</c:v>
                </c:pt>
                <c:pt idx="37">
                  <c:v>84.431996277914422</c:v>
                </c:pt>
                <c:pt idx="38">
                  <c:v>86.232554590569606</c:v>
                </c:pt>
                <c:pt idx="39">
                  <c:v>89.999769230767242</c:v>
                </c:pt>
                <c:pt idx="40">
                  <c:v>95.908112903224833</c:v>
                </c:pt>
                <c:pt idx="41">
                  <c:v>103.97154342431759</c:v>
                </c:pt>
                <c:pt idx="42">
                  <c:v>110.95045161290162</c:v>
                </c:pt>
              </c:numCache>
            </c:numRef>
          </c:xVal>
          <c:yVal>
            <c:numRef>
              <c:f>Continuous!$Z$4:$Z$46</c:f>
              <c:numCache>
                <c:formatCode>0%</c:formatCode>
                <c:ptCount val="43"/>
                <c:pt idx="0">
                  <c:v>5.1401869158878503E-2</c:v>
                </c:pt>
                <c:pt idx="1">
                  <c:v>5.1401869158878503E-2</c:v>
                </c:pt>
                <c:pt idx="2">
                  <c:v>0.11214953271028007</c:v>
                </c:pt>
                <c:pt idx="3">
                  <c:v>0.2149532710280371</c:v>
                </c:pt>
                <c:pt idx="4">
                  <c:v>0.15887850467289719</c:v>
                </c:pt>
                <c:pt idx="5">
                  <c:v>0.13084112149532709</c:v>
                </c:pt>
                <c:pt idx="6">
                  <c:v>0.13084112149532709</c:v>
                </c:pt>
                <c:pt idx="7">
                  <c:v>0.12149532710280374</c:v>
                </c:pt>
                <c:pt idx="8">
                  <c:v>0.10280373831775701</c:v>
                </c:pt>
                <c:pt idx="9">
                  <c:v>3.7383177570093455E-2</c:v>
                </c:pt>
                <c:pt idx="10">
                  <c:v>4.6728971962614434E-3</c:v>
                </c:pt>
                <c:pt idx="11">
                  <c:v>0</c:v>
                </c:pt>
                <c:pt idx="12">
                  <c:v>0.11214953271028007</c:v>
                </c:pt>
                <c:pt idx="13">
                  <c:v>9.3457943925233641E-2</c:v>
                </c:pt>
                <c:pt idx="14">
                  <c:v>7.476635514018691E-2</c:v>
                </c:pt>
                <c:pt idx="15">
                  <c:v>4.6728971962616821E-2</c:v>
                </c:pt>
                <c:pt idx="16">
                  <c:v>4.6728971962614434E-3</c:v>
                </c:pt>
                <c:pt idx="17">
                  <c:v>4.6728971962614434E-3</c:v>
                </c:pt>
                <c:pt idx="18">
                  <c:v>0.37383177570093457</c:v>
                </c:pt>
                <c:pt idx="19">
                  <c:v>0.3925233644859813</c:v>
                </c:pt>
                <c:pt idx="20">
                  <c:v>4.6728971962614434E-3</c:v>
                </c:pt>
                <c:pt idx="21">
                  <c:v>0</c:v>
                </c:pt>
                <c:pt idx="22">
                  <c:v>0.20560747663551401</c:v>
                </c:pt>
                <c:pt idx="23">
                  <c:v>0.35981308411214952</c:v>
                </c:pt>
                <c:pt idx="24">
                  <c:v>0.36915887850466994</c:v>
                </c:pt>
                <c:pt idx="25">
                  <c:v>0</c:v>
                </c:pt>
                <c:pt idx="26">
                  <c:v>4.6728971962614434E-3</c:v>
                </c:pt>
                <c:pt idx="27">
                  <c:v>0.31775700934579437</c:v>
                </c:pt>
                <c:pt idx="28">
                  <c:v>0.37850467289719625</c:v>
                </c:pt>
                <c:pt idx="29">
                  <c:v>4.6728971962614434E-3</c:v>
                </c:pt>
                <c:pt idx="30">
                  <c:v>0</c:v>
                </c:pt>
                <c:pt idx="31">
                  <c:v>0.9719626168224299</c:v>
                </c:pt>
                <c:pt idx="32">
                  <c:v>1</c:v>
                </c:pt>
                <c:pt idx="33">
                  <c:v>0.96728971962616828</c:v>
                </c:pt>
                <c:pt idx="34">
                  <c:v>0.89252336448598135</c:v>
                </c:pt>
                <c:pt idx="35">
                  <c:v>0.85981308411214952</c:v>
                </c:pt>
                <c:pt idx="36">
                  <c:v>0.80841121495327106</c:v>
                </c:pt>
                <c:pt idx="37">
                  <c:v>0.70560747663551404</c:v>
                </c:pt>
                <c:pt idx="38">
                  <c:v>0.65887850467289721</c:v>
                </c:pt>
                <c:pt idx="39">
                  <c:v>0.60747663551401865</c:v>
                </c:pt>
                <c:pt idx="40">
                  <c:v>0.56542056074766356</c:v>
                </c:pt>
                <c:pt idx="41">
                  <c:v>0.48598130841121495</c:v>
                </c:pt>
                <c:pt idx="42">
                  <c:v>0.44859813084112149</c:v>
                </c:pt>
              </c:numCache>
            </c:numRef>
          </c:yVal>
          <c:smooth val="0"/>
          <c:extLst>
            <c:ext xmlns:c16="http://schemas.microsoft.com/office/drawing/2014/chart" uri="{C3380CC4-5D6E-409C-BE32-E72D297353CC}">
              <c16:uniqueId val="{00000003-164F-4E4A-8DC6-B2E55C19C894}"/>
            </c:ext>
          </c:extLst>
        </c:ser>
        <c:ser>
          <c:idx val="4"/>
          <c:order val="1"/>
          <c:tx>
            <c:strRef>
              <c:f>Continuous!$AB$1</c:f>
              <c:strCache>
                <c:ptCount val="1"/>
                <c:pt idx="0">
                  <c:v>Pinatubo 1991 EQ Amplitude</c:v>
                </c:pt>
              </c:strCache>
            </c:strRef>
          </c:tx>
          <c:spPr>
            <a:ln w="19050" cap="rnd">
              <a:solidFill>
                <a:schemeClr val="accent4"/>
              </a:solidFill>
              <a:prstDash val="dash"/>
              <a:round/>
            </a:ln>
            <a:effectLst/>
          </c:spPr>
          <c:marker>
            <c:symbol val="none"/>
          </c:marker>
          <c:xVal>
            <c:numRef>
              <c:f>Continuous!$AD$4:$AD$33</c:f>
              <c:numCache>
                <c:formatCode>General</c:formatCode>
                <c:ptCount val="30"/>
                <c:pt idx="0">
                  <c:v>0.56603773584720329</c:v>
                </c:pt>
                <c:pt idx="1">
                  <c:v>16.188679245280781</c:v>
                </c:pt>
                <c:pt idx="2">
                  <c:v>34.528301886791994</c:v>
                </c:pt>
                <c:pt idx="3">
                  <c:v>49.811320754716789</c:v>
                </c:pt>
                <c:pt idx="4">
                  <c:v>57.962264150942403</c:v>
                </c:pt>
                <c:pt idx="5">
                  <c:v>62.03773584905521</c:v>
                </c:pt>
                <c:pt idx="6">
                  <c:v>64.075471698112807</c:v>
                </c:pt>
                <c:pt idx="7">
                  <c:v>70.188679245280781</c:v>
                </c:pt>
                <c:pt idx="8">
                  <c:v>74.264150943396018</c:v>
                </c:pt>
                <c:pt idx="9">
                  <c:v>79.01886792452639</c:v>
                </c:pt>
                <c:pt idx="10">
                  <c:v>81.396226415092812</c:v>
                </c:pt>
                <c:pt idx="11">
                  <c:v>85.811320754716789</c:v>
                </c:pt>
                <c:pt idx="12">
                  <c:v>89.207547169809601</c:v>
                </c:pt>
                <c:pt idx="13">
                  <c:v>91.584905660375981</c:v>
                </c:pt>
                <c:pt idx="14">
                  <c:v>100.41509433962159</c:v>
                </c:pt>
                <c:pt idx="15">
                  <c:v>105.16981132075443</c:v>
                </c:pt>
                <c:pt idx="16">
                  <c:v>105.50943396226322</c:v>
                </c:pt>
                <c:pt idx="17">
                  <c:v>114.67924528301756</c:v>
                </c:pt>
                <c:pt idx="18">
                  <c:v>125.54716981132077</c:v>
                </c:pt>
                <c:pt idx="19">
                  <c:v>129.96226415094236</c:v>
                </c:pt>
                <c:pt idx="20">
                  <c:v>135.05660377358399</c:v>
                </c:pt>
                <c:pt idx="21">
                  <c:v>153.05660377358399</c:v>
                </c:pt>
                <c:pt idx="22">
                  <c:v>171.05660377358399</c:v>
                </c:pt>
                <c:pt idx="23">
                  <c:v>189.73584905660164</c:v>
                </c:pt>
                <c:pt idx="24">
                  <c:v>206.03773584905517</c:v>
                </c:pt>
                <c:pt idx="25">
                  <c:v>214.18867924528078</c:v>
                </c:pt>
                <c:pt idx="26">
                  <c:v>226.07547169811281</c:v>
                </c:pt>
                <c:pt idx="27">
                  <c:v>234.90566037735837</c:v>
                </c:pt>
                <c:pt idx="28">
                  <c:v>244.07547169811281</c:v>
                </c:pt>
                <c:pt idx="29">
                  <c:v>262.7547169811304</c:v>
                </c:pt>
              </c:numCache>
            </c:numRef>
          </c:xVal>
          <c:yVal>
            <c:numRef>
              <c:f>Continuous!$AE$4:$AE$33</c:f>
              <c:numCache>
                <c:formatCode>0%</c:formatCode>
                <c:ptCount val="30"/>
                <c:pt idx="0">
                  <c:v>9.4844530308846806E-3</c:v>
                </c:pt>
                <c:pt idx="1">
                  <c:v>2.3545163973250682E-2</c:v>
                </c:pt>
                <c:pt idx="2">
                  <c:v>3.0459900866393233E-2</c:v>
                </c:pt>
                <c:pt idx="3">
                  <c:v>3.9780250109091517E-2</c:v>
                </c:pt>
                <c:pt idx="4">
                  <c:v>0.1559209765667246</c:v>
                </c:pt>
                <c:pt idx="5">
                  <c:v>0.32666350891195434</c:v>
                </c:pt>
                <c:pt idx="6">
                  <c:v>0.11315702121787344</c:v>
                </c:pt>
                <c:pt idx="7">
                  <c:v>0.12257807051241354</c:v>
                </c:pt>
                <c:pt idx="8">
                  <c:v>0.14862581725551302</c:v>
                </c:pt>
                <c:pt idx="9">
                  <c:v>0.45219544761173064</c:v>
                </c:pt>
                <c:pt idx="10">
                  <c:v>0.2031045453019697</c:v>
                </c:pt>
                <c:pt idx="11">
                  <c:v>0.35012289135956243</c:v>
                </c:pt>
                <c:pt idx="12">
                  <c:v>0.95258519410867348</c:v>
                </c:pt>
                <c:pt idx="13">
                  <c:v>1</c:v>
                </c:pt>
                <c:pt idx="15">
                  <c:v>0.85752807480148829</c:v>
                </c:pt>
                <c:pt idx="16">
                  <c:v>0.31669793341115848</c:v>
                </c:pt>
                <c:pt idx="17">
                  <c:v>0.25255200038788145</c:v>
                </c:pt>
                <c:pt idx="18">
                  <c:v>0.21685196719416089</c:v>
                </c:pt>
                <c:pt idx="19">
                  <c:v>0.2405239386401016</c:v>
                </c:pt>
                <c:pt idx="20">
                  <c:v>0.18353889819224747</c:v>
                </c:pt>
                <c:pt idx="21">
                  <c:v>0.16199281672963475</c:v>
                </c:pt>
                <c:pt idx="22">
                  <c:v>0.13570264393580492</c:v>
                </c:pt>
                <c:pt idx="23">
                  <c:v>0.11652114887570221</c:v>
                </c:pt>
                <c:pt idx="24">
                  <c:v>9.9737806902055914E-2</c:v>
                </c:pt>
                <c:pt idx="25">
                  <c:v>0.11862466106973255</c:v>
                </c:pt>
                <c:pt idx="26">
                  <c:v>9.0029575978189114E-2</c:v>
                </c:pt>
                <c:pt idx="27">
                  <c:v>0.13737351887007049</c:v>
                </c:pt>
                <c:pt idx="28">
                  <c:v>7.7971677178011123E-2</c:v>
                </c:pt>
                <c:pt idx="29">
                  <c:v>8.0138593108386655E-2</c:v>
                </c:pt>
              </c:numCache>
            </c:numRef>
          </c:yVal>
          <c:smooth val="0"/>
          <c:extLst>
            <c:ext xmlns:c16="http://schemas.microsoft.com/office/drawing/2014/chart" uri="{C3380CC4-5D6E-409C-BE32-E72D297353CC}">
              <c16:uniqueId val="{00000004-164F-4E4A-8DC6-B2E55C19C894}"/>
            </c:ext>
          </c:extLst>
        </c:ser>
        <c:ser>
          <c:idx val="5"/>
          <c:order val="2"/>
          <c:tx>
            <c:strRef>
              <c:f>Continuous!$AF$1</c:f>
              <c:strCache>
                <c:ptCount val="1"/>
                <c:pt idx="0">
                  <c:v>Krakatau 1883 Column</c:v>
                </c:pt>
              </c:strCache>
            </c:strRef>
          </c:tx>
          <c:spPr>
            <a:ln w="19050" cap="rnd">
              <a:solidFill>
                <a:schemeClr val="accent6"/>
              </a:solidFill>
              <a:round/>
            </a:ln>
            <a:effectLst/>
          </c:spPr>
          <c:marker>
            <c:symbol val="none"/>
          </c:marker>
          <c:xVal>
            <c:numRef>
              <c:f>Continuous!$AG$4:$AG$93</c:f>
              <c:numCache>
                <c:formatCode>General</c:formatCode>
                <c:ptCount val="90"/>
                <c:pt idx="0">
                  <c:v>0.44597722870506101</c:v>
                </c:pt>
                <c:pt idx="1">
                  <c:v>1.92162328152313</c:v>
                </c:pt>
                <c:pt idx="2">
                  <c:v>3.1516039117494201</c:v>
                </c:pt>
                <c:pt idx="3">
                  <c:v>3.8902536967921701</c:v>
                </c:pt>
                <c:pt idx="4">
                  <c:v>4.3827656257381804</c:v>
                </c:pt>
                <c:pt idx="5">
                  <c:v>10.7766806821939</c:v>
                </c:pt>
                <c:pt idx="6">
                  <c:v>10.5321963433646</c:v>
                </c:pt>
                <c:pt idx="7">
                  <c:v>9.3043416639108099</c:v>
                </c:pt>
                <c:pt idx="8">
                  <c:v>7.8301129116076904</c:v>
                </c:pt>
                <c:pt idx="9">
                  <c:v>6.3551755090470996</c:v>
                </c:pt>
                <c:pt idx="10">
                  <c:v>6.1111636037227797</c:v>
                </c:pt>
                <c:pt idx="11">
                  <c:v>9.5540227712949406</c:v>
                </c:pt>
                <c:pt idx="12">
                  <c:v>9.0634005763688705</c:v>
                </c:pt>
                <c:pt idx="13">
                  <c:v>6.8519393395379602</c:v>
                </c:pt>
                <c:pt idx="14">
                  <c:v>3.1643596163839902</c:v>
                </c:pt>
                <c:pt idx="15">
                  <c:v>1.4432843577266501</c:v>
                </c:pt>
                <c:pt idx="16">
                  <c:v>0.70652430670383304</c:v>
                </c:pt>
                <c:pt idx="17">
                  <c:v>3.1660131336514299</c:v>
                </c:pt>
                <c:pt idx="18">
                  <c:v>4.3959937638777404</c:v>
                </c:pt>
                <c:pt idx="19">
                  <c:v>4.3969386308877096</c:v>
                </c:pt>
                <c:pt idx="20">
                  <c:v>3.4147493740256101</c:v>
                </c:pt>
                <c:pt idx="21">
                  <c:v>3.1697926016913098</c:v>
                </c:pt>
                <c:pt idx="22">
                  <c:v>4.8915765106061304</c:v>
                </c:pt>
                <c:pt idx="23">
                  <c:v>4.4009543156800701</c:v>
                </c:pt>
                <c:pt idx="24">
                  <c:v>2.1885482118391799</c:v>
                </c:pt>
                <c:pt idx="25">
                  <c:v>0.46818160343931903</c:v>
                </c:pt>
                <c:pt idx="26">
                  <c:v>0.507157367600513</c:v>
                </c:pt>
                <c:pt idx="27">
                  <c:v>4.6879576699579504</c:v>
                </c:pt>
                <c:pt idx="28">
                  <c:v>4.9345679595596899</c:v>
                </c:pt>
                <c:pt idx="29">
                  <c:v>4.1980441252893703</c:v>
                </c:pt>
                <c:pt idx="30">
                  <c:v>2.7240515897387398</c:v>
                </c:pt>
                <c:pt idx="31">
                  <c:v>2.9718429631029499</c:v>
                </c:pt>
                <c:pt idx="32">
                  <c:v>3.2208154202296</c:v>
                </c:pt>
                <c:pt idx="33">
                  <c:v>3.2238862380120001</c:v>
                </c:pt>
                <c:pt idx="34">
                  <c:v>3.71663438371049</c:v>
                </c:pt>
                <c:pt idx="35">
                  <c:v>4.4552841687532503</c:v>
                </c:pt>
                <c:pt idx="36">
                  <c:v>2.73444512684839</c:v>
                </c:pt>
                <c:pt idx="37">
                  <c:v>0.76770444559928497</c:v>
                </c:pt>
                <c:pt idx="38">
                  <c:v>19.702603108612401</c:v>
                </c:pt>
                <c:pt idx="39">
                  <c:v>19.706855010157302</c:v>
                </c:pt>
                <c:pt idx="40">
                  <c:v>19.216941465488699</c:v>
                </c:pt>
                <c:pt idx="41">
                  <c:v>17.743893796948001</c:v>
                </c:pt>
                <c:pt idx="42">
                  <c:v>16.7614683233334</c:v>
                </c:pt>
                <c:pt idx="43">
                  <c:v>15.286767137525301</c:v>
                </c:pt>
                <c:pt idx="44">
                  <c:v>13.8130108187272</c:v>
                </c:pt>
                <c:pt idx="45">
                  <c:v>13.3235697075636</c:v>
                </c:pt>
                <c:pt idx="46">
                  <c:v>12.833656162895</c:v>
                </c:pt>
                <c:pt idx="47">
                  <c:v>10.869513865923301</c:v>
                </c:pt>
                <c:pt idx="48">
                  <c:v>11.362498228374299</c:v>
                </c:pt>
                <c:pt idx="49">
                  <c:v>11.363679312136799</c:v>
                </c:pt>
                <c:pt idx="50">
                  <c:v>11.1196674068124</c:v>
                </c:pt>
                <c:pt idx="51">
                  <c:v>9.8929938111210802</c:v>
                </c:pt>
                <c:pt idx="52">
                  <c:v>9.6515802900741701</c:v>
                </c:pt>
                <c:pt idx="53">
                  <c:v>8.9150564558038496</c:v>
                </c:pt>
                <c:pt idx="54">
                  <c:v>8.1785326215335203</c:v>
                </c:pt>
                <c:pt idx="55">
                  <c:v>8.4256153446402493</c:v>
                </c:pt>
                <c:pt idx="56">
                  <c:v>8.9197807908536895</c:v>
                </c:pt>
                <c:pt idx="57">
                  <c:v>8.9223791751311001</c:v>
                </c:pt>
                <c:pt idx="58">
                  <c:v>8.4324656304625094</c:v>
                </c:pt>
                <c:pt idx="59">
                  <c:v>7.6957055794396902</c:v>
                </c:pt>
                <c:pt idx="60">
                  <c:v>6.4687957669957896</c:v>
                </c:pt>
                <c:pt idx="61">
                  <c:v>5.2435394718193296</c:v>
                </c:pt>
                <c:pt idx="62">
                  <c:v>4.2644210327396399</c:v>
                </c:pt>
                <c:pt idx="63">
                  <c:v>3.5312042330042002</c:v>
                </c:pt>
                <c:pt idx="64">
                  <c:v>2.7951528322388599</c:v>
                </c:pt>
                <c:pt idx="65">
                  <c:v>1.8148533093967001</c:v>
                </c:pt>
                <c:pt idx="66">
                  <c:v>1.32493976472812</c:v>
                </c:pt>
                <c:pt idx="67">
                  <c:v>2.5568101289743499</c:v>
                </c:pt>
                <c:pt idx="68">
                  <c:v>1.3291916662729699</c:v>
                </c:pt>
                <c:pt idx="69">
                  <c:v>2.06878631832569</c:v>
                </c:pt>
                <c:pt idx="70">
                  <c:v>2.0706760523456298</c:v>
                </c:pt>
                <c:pt idx="71">
                  <c:v>1.82760901403128</c:v>
                </c:pt>
                <c:pt idx="72">
                  <c:v>2.32082959323475</c:v>
                </c:pt>
                <c:pt idx="73">
                  <c:v>2.5679123163414799</c:v>
                </c:pt>
                <c:pt idx="74">
                  <c:v>2.3229555440071699</c:v>
                </c:pt>
                <c:pt idx="75">
                  <c:v>1.58666792648935</c:v>
                </c:pt>
                <c:pt idx="76">
                  <c:v>2.0794160721878399</c:v>
                </c:pt>
                <c:pt idx="77">
                  <c:v>1.58950252751925</c:v>
                </c:pt>
                <c:pt idx="78">
                  <c:v>3.5571880757783298</c:v>
                </c:pt>
                <c:pt idx="79">
                  <c:v>4.0541881230216799</c:v>
                </c:pt>
                <c:pt idx="80">
                  <c:v>3.8101762176973599</c:v>
                </c:pt>
                <c:pt idx="81">
                  <c:v>3.5656918788680501</c:v>
                </c:pt>
                <c:pt idx="82">
                  <c:v>4.0593848915765003</c:v>
                </c:pt>
                <c:pt idx="83">
                  <c:v>4.0600935418339796</c:v>
                </c:pt>
                <c:pt idx="84">
                  <c:v>3.5697075636604101</c:v>
                </c:pt>
                <c:pt idx="85">
                  <c:v>4.7999244106391998</c:v>
                </c:pt>
                <c:pt idx="86">
                  <c:v>7.01351159824255</c:v>
                </c:pt>
                <c:pt idx="87">
                  <c:v>7.50578731043605</c:v>
                </c:pt>
                <c:pt idx="88">
                  <c:v>7.0146926820050099</c:v>
                </c:pt>
                <c:pt idx="89">
                  <c:v>6.2779326309821899</c:v>
                </c:pt>
              </c:numCache>
            </c:numRef>
          </c:xVal>
          <c:yVal>
            <c:numRef>
              <c:f>Continuous!$AH$4:$AH$93</c:f>
              <c:numCache>
                <c:formatCode>General</c:formatCode>
                <c:ptCount val="90"/>
                <c:pt idx="0">
                  <c:v>-2307.8472622478398</c:v>
                </c:pt>
                <c:pt idx="1">
                  <c:v>-2305.0806916426559</c:v>
                </c:pt>
                <c:pt idx="2">
                  <c:v>-2299.5475504322881</c:v>
                </c:pt>
                <c:pt idx="3">
                  <c:v>-2288.4812680115278</c:v>
                </c:pt>
                <c:pt idx="4">
                  <c:v>-2280.1815561959761</c:v>
                </c:pt>
                <c:pt idx="5">
                  <c:v>-2274.6484149856083</c:v>
                </c:pt>
                <c:pt idx="6">
                  <c:v>-2258.0489913544802</c:v>
                </c:pt>
                <c:pt idx="7">
                  <c:v>-2238.6829971181683</c:v>
                </c:pt>
                <c:pt idx="8">
                  <c:v>-2224.8501440922241</c:v>
                </c:pt>
                <c:pt idx="9">
                  <c:v>-2219.3170028818563</c:v>
                </c:pt>
                <c:pt idx="10">
                  <c:v>-2197.18443804036</c:v>
                </c:pt>
                <c:pt idx="11">
                  <c:v>-2194.417867435176</c:v>
                </c:pt>
                <c:pt idx="12">
                  <c:v>-2180.5850144092319</c:v>
                </c:pt>
                <c:pt idx="13">
                  <c:v>-2161.21902017292</c:v>
                </c:pt>
                <c:pt idx="14">
                  <c:v>-2150.1527377521843</c:v>
                </c:pt>
                <c:pt idx="15">
                  <c:v>-2147.3861671469763</c:v>
                </c:pt>
                <c:pt idx="16">
                  <c:v>-2136.3198847262402</c:v>
                </c:pt>
                <c:pt idx="17">
                  <c:v>-2130.7867435158723</c:v>
                </c:pt>
                <c:pt idx="18">
                  <c:v>-2125.2536023054799</c:v>
                </c:pt>
                <c:pt idx="19">
                  <c:v>-2114.1873198847443</c:v>
                </c:pt>
                <c:pt idx="20">
                  <c:v>-2097.5878962536162</c:v>
                </c:pt>
                <c:pt idx="21">
                  <c:v>-2086.521613832856</c:v>
                </c:pt>
                <c:pt idx="22">
                  <c:v>-2080.9884726224882</c:v>
                </c:pt>
                <c:pt idx="23">
                  <c:v>-2067.1556195965441</c:v>
                </c:pt>
                <c:pt idx="24">
                  <c:v>-2058.8559077809923</c:v>
                </c:pt>
                <c:pt idx="25">
                  <c:v>-2047.7896253602319</c:v>
                </c:pt>
                <c:pt idx="26">
                  <c:v>-1591.3054755043443</c:v>
                </c:pt>
                <c:pt idx="27">
                  <c:v>-1585.7723342939519</c:v>
                </c:pt>
                <c:pt idx="28">
                  <c:v>-1577.4726224784001</c:v>
                </c:pt>
                <c:pt idx="29">
                  <c:v>-1563.639769452456</c:v>
                </c:pt>
                <c:pt idx="30">
                  <c:v>-1547.0403458213279</c:v>
                </c:pt>
                <c:pt idx="31">
                  <c:v>-1524.9077809798321</c:v>
                </c:pt>
                <c:pt idx="32">
                  <c:v>-1488.9423631123921</c:v>
                </c:pt>
                <c:pt idx="33">
                  <c:v>-1452.9769452449759</c:v>
                </c:pt>
                <c:pt idx="34">
                  <c:v>-1441.9106628242157</c:v>
                </c:pt>
                <c:pt idx="35">
                  <c:v>-1430.84438040348</c:v>
                </c:pt>
                <c:pt idx="36">
                  <c:v>-1425.3112391930883</c:v>
                </c:pt>
                <c:pt idx="37">
                  <c:v>-1419.7780979827198</c:v>
                </c:pt>
                <c:pt idx="38">
                  <c:v>-1414.244956772352</c:v>
                </c:pt>
                <c:pt idx="39">
                  <c:v>-1364.4466858789679</c:v>
                </c:pt>
                <c:pt idx="40">
                  <c:v>-1342.314121037472</c:v>
                </c:pt>
                <c:pt idx="41">
                  <c:v>-1314.6484149856083</c:v>
                </c:pt>
                <c:pt idx="42">
                  <c:v>-1300.8155619596641</c:v>
                </c:pt>
                <c:pt idx="43">
                  <c:v>-1292.5158501441117</c:v>
                </c:pt>
                <c:pt idx="44">
                  <c:v>-1273.1498559077997</c:v>
                </c:pt>
                <c:pt idx="45">
                  <c:v>-1245.4841498559122</c:v>
                </c:pt>
                <c:pt idx="46">
                  <c:v>-1223.3515850144163</c:v>
                </c:pt>
                <c:pt idx="47">
                  <c:v>-1187.3861671469763</c:v>
                </c:pt>
                <c:pt idx="48">
                  <c:v>-1173.553314121056</c:v>
                </c:pt>
                <c:pt idx="49">
                  <c:v>-1159.7204610951119</c:v>
                </c:pt>
                <c:pt idx="50">
                  <c:v>-1137.587896253616</c:v>
                </c:pt>
                <c:pt idx="51">
                  <c:v>-1104.3890489913599</c:v>
                </c:pt>
                <c:pt idx="52">
                  <c:v>-1051.8242074928157</c:v>
                </c:pt>
                <c:pt idx="53">
                  <c:v>-1037.9913544668723</c:v>
                </c:pt>
                <c:pt idx="54">
                  <c:v>-1024.1585014409281</c:v>
                </c:pt>
                <c:pt idx="55">
                  <c:v>-1010.3256484150079</c:v>
                </c:pt>
                <c:pt idx="56">
                  <c:v>-982.65994236312031</c:v>
                </c:pt>
                <c:pt idx="57">
                  <c:v>-952.227665706072</c:v>
                </c:pt>
                <c:pt idx="58">
                  <c:v>-930.09510086457612</c:v>
                </c:pt>
                <c:pt idx="59">
                  <c:v>-919.02881844381591</c:v>
                </c:pt>
                <c:pt idx="60">
                  <c:v>-888.59654178674373</c:v>
                </c:pt>
                <c:pt idx="61">
                  <c:v>-838.79827089338414</c:v>
                </c:pt>
                <c:pt idx="62">
                  <c:v>-786.23342939481608</c:v>
                </c:pt>
                <c:pt idx="63">
                  <c:v>-733.6685878962719</c:v>
                </c:pt>
                <c:pt idx="64">
                  <c:v>-714.30259365995994</c:v>
                </c:pt>
                <c:pt idx="65">
                  <c:v>-675.57060518733601</c:v>
                </c:pt>
                <c:pt idx="66">
                  <c:v>-653.43804034584014</c:v>
                </c:pt>
                <c:pt idx="67">
                  <c:v>-625.77233429395187</c:v>
                </c:pt>
                <c:pt idx="68">
                  <c:v>-603.63976945245599</c:v>
                </c:pt>
                <c:pt idx="69">
                  <c:v>-581.50720461096012</c:v>
                </c:pt>
                <c:pt idx="70">
                  <c:v>-559.37463976946424</c:v>
                </c:pt>
                <c:pt idx="71">
                  <c:v>-526.17579250720814</c:v>
                </c:pt>
                <c:pt idx="72">
                  <c:v>-509.57636887610397</c:v>
                </c:pt>
                <c:pt idx="73">
                  <c:v>-495.74351585015984</c:v>
                </c:pt>
                <c:pt idx="74">
                  <c:v>-484.6772334294003</c:v>
                </c:pt>
                <c:pt idx="75">
                  <c:v>-468.07780979827226</c:v>
                </c:pt>
                <c:pt idx="76">
                  <c:v>-457.01152737753591</c:v>
                </c:pt>
                <c:pt idx="77">
                  <c:v>-434.87896253604004</c:v>
                </c:pt>
                <c:pt idx="78">
                  <c:v>-429.3458213256722</c:v>
                </c:pt>
                <c:pt idx="79">
                  <c:v>-368.48126801152785</c:v>
                </c:pt>
                <c:pt idx="80">
                  <c:v>-346.34870317003197</c:v>
                </c:pt>
                <c:pt idx="81">
                  <c:v>-329.74927953892779</c:v>
                </c:pt>
                <c:pt idx="82">
                  <c:v>-307.61671469740804</c:v>
                </c:pt>
                <c:pt idx="83">
                  <c:v>-299.3170028818563</c:v>
                </c:pt>
                <c:pt idx="84">
                  <c:v>-282.71757925072825</c:v>
                </c:pt>
                <c:pt idx="85">
                  <c:v>-274.41786743517582</c:v>
                </c:pt>
                <c:pt idx="86">
                  <c:v>-268.88472622478412</c:v>
                </c:pt>
                <c:pt idx="87">
                  <c:v>-263.35158501441629</c:v>
                </c:pt>
                <c:pt idx="88">
                  <c:v>-255.05187319886386</c:v>
                </c:pt>
                <c:pt idx="89">
                  <c:v>-243.98559077810432</c:v>
                </c:pt>
              </c:numCache>
            </c:numRef>
          </c:yVal>
          <c:smooth val="0"/>
          <c:extLst>
            <c:ext xmlns:c16="http://schemas.microsoft.com/office/drawing/2014/chart" uri="{C3380CC4-5D6E-409C-BE32-E72D297353CC}">
              <c16:uniqueId val="{00000005-164F-4E4A-8DC6-B2E55C19C894}"/>
            </c:ext>
          </c:extLst>
        </c:ser>
        <c:ser>
          <c:idx val="0"/>
          <c:order val="3"/>
          <c:tx>
            <c:strRef>
              <c:f>Continuous!$BD$1</c:f>
              <c:strCache>
                <c:ptCount val="1"/>
                <c:pt idx="0">
                  <c:v>Tambora 1815 Intensity</c:v>
                </c:pt>
              </c:strCache>
            </c:strRef>
          </c:tx>
          <c:spPr>
            <a:ln w="19050" cap="rnd">
              <a:solidFill>
                <a:schemeClr val="accent1"/>
              </a:solidFill>
              <a:round/>
            </a:ln>
            <a:effectLst/>
          </c:spPr>
          <c:marker>
            <c:symbol val="none"/>
          </c:marker>
          <c:xVal>
            <c:numRef>
              <c:f>Continuous!$BF$4:$BF$11</c:f>
              <c:numCache>
                <c:formatCode>General</c:formatCode>
                <c:ptCount val="8"/>
                <c:pt idx="0">
                  <c:v>0</c:v>
                </c:pt>
                <c:pt idx="1">
                  <c:v>1.1999999999999957</c:v>
                </c:pt>
                <c:pt idx="2">
                  <c:v>122.49366812226958</c:v>
                </c:pt>
                <c:pt idx="3">
                  <c:v>123.875109170304</c:v>
                </c:pt>
                <c:pt idx="4">
                  <c:v>137.26179039301201</c:v>
                </c:pt>
                <c:pt idx="5">
                  <c:v>147.23711790392878</c:v>
                </c:pt>
                <c:pt idx="6">
                  <c:v>152.04039301309922</c:v>
                </c:pt>
                <c:pt idx="7">
                  <c:v>156.0520742358072</c:v>
                </c:pt>
              </c:numCache>
            </c:numRef>
          </c:xVal>
          <c:yVal>
            <c:numRef>
              <c:f>Continuous!$BG$4:$BG$11</c:f>
              <c:numCache>
                <c:formatCode>0%</c:formatCode>
                <c:ptCount val="8"/>
                <c:pt idx="0">
                  <c:v>0</c:v>
                </c:pt>
                <c:pt idx="1">
                  <c:v>0.45215486731573123</c:v>
                </c:pt>
                <c:pt idx="2">
                  <c:v>0.36688168596498194</c:v>
                </c:pt>
                <c:pt idx="3">
                  <c:v>1</c:v>
                </c:pt>
                <c:pt idx="4">
                  <c:v>0.87924195680916695</c:v>
                </c:pt>
                <c:pt idx="5">
                  <c:v>0.72814081760754379</c:v>
                </c:pt>
                <c:pt idx="6">
                  <c:v>0.37318535731933689</c:v>
                </c:pt>
                <c:pt idx="7">
                  <c:v>0.32888603977189251</c:v>
                </c:pt>
              </c:numCache>
            </c:numRef>
          </c:yVal>
          <c:smooth val="0"/>
          <c:extLst>
            <c:ext xmlns:c16="http://schemas.microsoft.com/office/drawing/2014/chart" uri="{C3380CC4-5D6E-409C-BE32-E72D297353CC}">
              <c16:uniqueId val="{00000006-164F-4E4A-8DC6-B2E55C19C894}"/>
            </c:ext>
          </c:extLst>
        </c:ser>
        <c:ser>
          <c:idx val="1"/>
          <c:order val="4"/>
          <c:tx>
            <c:strRef>
              <c:f>Continuous!$A$1</c:f>
              <c:strCache>
                <c:ptCount val="1"/>
                <c:pt idx="0">
                  <c:v>PCC 2011 Mass</c:v>
                </c:pt>
              </c:strCache>
            </c:strRef>
          </c:tx>
          <c:spPr>
            <a:ln w="12700" cap="rnd">
              <a:solidFill>
                <a:srgbClr val="C00000"/>
              </a:solidFill>
              <a:round/>
            </a:ln>
            <a:effectLst/>
          </c:spPr>
          <c:marker>
            <c:symbol val="none"/>
          </c:marker>
          <c:xVal>
            <c:numRef>
              <c:f>Continuous!$C$4:$C$30</c:f>
              <c:numCache>
                <c:formatCode>General</c:formatCode>
                <c:ptCount val="27"/>
                <c:pt idx="0">
                  <c:v>0</c:v>
                </c:pt>
                <c:pt idx="1">
                  <c:v>0</c:v>
                </c:pt>
                <c:pt idx="2">
                  <c:v>24</c:v>
                </c:pt>
                <c:pt idx="3">
                  <c:v>48</c:v>
                </c:pt>
                <c:pt idx="4">
                  <c:v>72</c:v>
                </c:pt>
                <c:pt idx="5">
                  <c:v>96</c:v>
                </c:pt>
                <c:pt idx="6">
                  <c:v>120</c:v>
                </c:pt>
                <c:pt idx="7">
                  <c:v>144</c:v>
                </c:pt>
                <c:pt idx="8">
                  <c:v>168</c:v>
                </c:pt>
                <c:pt idx="9">
                  <c:v>192</c:v>
                </c:pt>
                <c:pt idx="10">
                  <c:v>216</c:v>
                </c:pt>
                <c:pt idx="11">
                  <c:v>240</c:v>
                </c:pt>
                <c:pt idx="12">
                  <c:v>264</c:v>
                </c:pt>
                <c:pt idx="13">
                  <c:v>288</c:v>
                </c:pt>
                <c:pt idx="14">
                  <c:v>312</c:v>
                </c:pt>
                <c:pt idx="15">
                  <c:v>336</c:v>
                </c:pt>
                <c:pt idx="16">
                  <c:v>360</c:v>
                </c:pt>
                <c:pt idx="17">
                  <c:v>384</c:v>
                </c:pt>
                <c:pt idx="18">
                  <c:v>408</c:v>
                </c:pt>
                <c:pt idx="19">
                  <c:v>432</c:v>
                </c:pt>
                <c:pt idx="20">
                  <c:v>456</c:v>
                </c:pt>
                <c:pt idx="21">
                  <c:v>480</c:v>
                </c:pt>
                <c:pt idx="22">
                  <c:v>504</c:v>
                </c:pt>
                <c:pt idx="23">
                  <c:v>528</c:v>
                </c:pt>
                <c:pt idx="24">
                  <c:v>552</c:v>
                </c:pt>
                <c:pt idx="25">
                  <c:v>576</c:v>
                </c:pt>
                <c:pt idx="26">
                  <c:v>600</c:v>
                </c:pt>
              </c:numCache>
            </c:numRef>
          </c:xVal>
          <c:yVal>
            <c:numRef>
              <c:f>Continuous!$D$4:$D$30</c:f>
              <c:numCache>
                <c:formatCode>0%</c:formatCode>
                <c:ptCount val="27"/>
                <c:pt idx="0">
                  <c:v>1.1664585234726595E-7</c:v>
                </c:pt>
                <c:pt idx="1">
                  <c:v>1</c:v>
                </c:pt>
                <c:pt idx="2">
                  <c:v>0.67575183553862095</c:v>
                </c:pt>
                <c:pt idx="3">
                  <c:v>0.34513890822784982</c:v>
                </c:pt>
                <c:pt idx="4">
                  <c:v>0.27588588614871601</c:v>
                </c:pt>
                <c:pt idx="5">
                  <c:v>0.51074801439902706</c:v>
                </c:pt>
                <c:pt idx="6">
                  <c:v>0.57126669560520671</c:v>
                </c:pt>
                <c:pt idx="7">
                  <c:v>9.5218953540840617E-2</c:v>
                </c:pt>
                <c:pt idx="8">
                  <c:v>0.15760441854429041</c:v>
                </c:pt>
                <c:pt idx="9">
                  <c:v>0.45664054323381559</c:v>
                </c:pt>
                <c:pt idx="10">
                  <c:v>0.482937108483874</c:v>
                </c:pt>
                <c:pt idx="11">
                  <c:v>0.14902264919349895</c:v>
                </c:pt>
                <c:pt idx="12">
                  <c:v>5.4395416948261825E-2</c:v>
                </c:pt>
                <c:pt idx="13">
                  <c:v>2.0998508570499914E-2</c:v>
                </c:pt>
                <c:pt idx="14">
                  <c:v>6.8527716661505355E-3</c:v>
                </c:pt>
                <c:pt idx="15">
                  <c:v>7.1968567300115124E-2</c:v>
                </c:pt>
                <c:pt idx="16">
                  <c:v>4.8974454222726373E-3</c:v>
                </c:pt>
                <c:pt idx="17">
                  <c:v>2.4839152744684137E-2</c:v>
                </c:pt>
                <c:pt idx="18">
                  <c:v>1.4189780710088713E-2</c:v>
                </c:pt>
                <c:pt idx="19">
                  <c:v>7.2474023224354846E-3</c:v>
                </c:pt>
                <c:pt idx="20">
                  <c:v>3.8874574946333118E-2</c:v>
                </c:pt>
                <c:pt idx="21">
                  <c:v>2.7977474632885388E-3</c:v>
                </c:pt>
                <c:pt idx="22">
                  <c:v>1.3417128354799095E-2</c:v>
                </c:pt>
                <c:pt idx="23">
                  <c:v>2.6454064080473727E-3</c:v>
                </c:pt>
                <c:pt idx="24">
                  <c:v>4.3480834671045111E-2</c:v>
                </c:pt>
                <c:pt idx="25">
                  <c:v>5.4395416948261825E-2</c:v>
                </c:pt>
                <c:pt idx="26">
                  <c:v>4.5984766095873965E-2</c:v>
                </c:pt>
              </c:numCache>
            </c:numRef>
          </c:yVal>
          <c:smooth val="0"/>
          <c:extLst>
            <c:ext xmlns:c16="http://schemas.microsoft.com/office/drawing/2014/chart" uri="{C3380CC4-5D6E-409C-BE32-E72D297353CC}">
              <c16:uniqueId val="{00000007-164F-4E4A-8DC6-B2E55C19C894}"/>
            </c:ext>
          </c:extLst>
        </c:ser>
        <c:ser>
          <c:idx val="2"/>
          <c:order val="5"/>
          <c:tx>
            <c:strRef>
              <c:f>Continuous!$J$1</c:f>
              <c:strCache>
                <c:ptCount val="1"/>
                <c:pt idx="0">
                  <c:v>Katmai 1912 Volume</c:v>
                </c:pt>
              </c:strCache>
            </c:strRef>
          </c:tx>
          <c:spPr>
            <a:ln w="19050" cap="rnd">
              <a:solidFill>
                <a:schemeClr val="accent3"/>
              </a:solidFill>
              <a:round/>
            </a:ln>
            <a:effectLst/>
          </c:spPr>
          <c:marker>
            <c:symbol val="none"/>
          </c:marker>
          <c:xVal>
            <c:numRef>
              <c:f>Continuous!$N$4:$N$12</c:f>
              <c:numCache>
                <c:formatCode>General</c:formatCode>
                <c:ptCount val="9"/>
                <c:pt idx="0">
                  <c:v>0</c:v>
                </c:pt>
                <c:pt idx="1">
                  <c:v>3.999999999996362</c:v>
                </c:pt>
                <c:pt idx="2">
                  <c:v>9.499999999992724</c:v>
                </c:pt>
                <c:pt idx="3">
                  <c:v>13.999999999992724</c:v>
                </c:pt>
                <c:pt idx="4">
                  <c:v>18.999999999996362</c:v>
                </c:pt>
                <c:pt idx="5">
                  <c:v>30.999999999996362</c:v>
                </c:pt>
                <c:pt idx="6">
                  <c:v>46.499999999989086</c:v>
                </c:pt>
                <c:pt idx="7">
                  <c:v>55.999999999992724</c:v>
                </c:pt>
                <c:pt idx="8">
                  <c:v>62.499999999996362</c:v>
                </c:pt>
              </c:numCache>
            </c:numRef>
          </c:xVal>
          <c:yVal>
            <c:numRef>
              <c:f>Continuous!$O$4:$O$12</c:f>
              <c:numCache>
                <c:formatCode>0%</c:formatCode>
                <c:ptCount val="9"/>
                <c:pt idx="0">
                  <c:v>0</c:v>
                </c:pt>
                <c:pt idx="1">
                  <c:v>0.72187500000017779</c:v>
                </c:pt>
                <c:pt idx="2">
                  <c:v>1</c:v>
                </c:pt>
                <c:pt idx="3">
                  <c:v>0.19642857142843984</c:v>
                </c:pt>
                <c:pt idx="4">
                  <c:v>3.9285714285660037E-2</c:v>
                </c:pt>
                <c:pt idx="5">
                  <c:v>0.16778273809512234</c:v>
                </c:pt>
                <c:pt idx="6">
                  <c:v>3.1682027649759564E-3</c:v>
                </c:pt>
                <c:pt idx="7">
                  <c:v>0.1809210526313953</c:v>
                </c:pt>
                <c:pt idx="8">
                  <c:v>0</c:v>
                </c:pt>
              </c:numCache>
            </c:numRef>
          </c:yVal>
          <c:smooth val="0"/>
          <c:extLst>
            <c:ext xmlns:c16="http://schemas.microsoft.com/office/drawing/2014/chart" uri="{C3380CC4-5D6E-409C-BE32-E72D297353CC}">
              <c16:uniqueId val="{00000009-164F-4E4A-8DC6-B2E55C19C894}"/>
            </c:ext>
          </c:extLst>
        </c:ser>
        <c:ser>
          <c:idx val="6"/>
          <c:order val="6"/>
          <c:tx>
            <c:strRef>
              <c:f>Continuous!$Q$1</c:f>
              <c:strCache>
                <c:ptCount val="1"/>
                <c:pt idx="0">
                  <c:v>Katmai 1912 EQ Log10</c:v>
                </c:pt>
              </c:strCache>
            </c:strRef>
          </c:tx>
          <c:spPr>
            <a:ln w="19050" cap="rnd">
              <a:solidFill>
                <a:schemeClr val="accent3"/>
              </a:solidFill>
              <a:prstDash val="dash"/>
              <a:round/>
            </a:ln>
            <a:effectLst/>
          </c:spPr>
          <c:marker>
            <c:symbol val="none"/>
          </c:marker>
          <c:xVal>
            <c:numRef>
              <c:f>Continuous!$U$5:$U$31</c:f>
              <c:numCache>
                <c:formatCode>General</c:formatCode>
                <c:ptCount val="27"/>
                <c:pt idx="0">
                  <c:v>-7.2422802850357826</c:v>
                </c:pt>
                <c:pt idx="1">
                  <c:v>-6.3871733966747186</c:v>
                </c:pt>
                <c:pt idx="2">
                  <c:v>-5.532066508313676</c:v>
                </c:pt>
                <c:pt idx="3">
                  <c:v>-4.0118764845607373</c:v>
                </c:pt>
                <c:pt idx="4">
                  <c:v>-2.111638954869548</c:v>
                </c:pt>
                <c:pt idx="5">
                  <c:v>-1.2565320665085054</c:v>
                </c:pt>
                <c:pt idx="6">
                  <c:v>-0.11638954869377471</c:v>
                </c:pt>
                <c:pt idx="7">
                  <c:v>1.3087885985746439</c:v>
                </c:pt>
                <c:pt idx="8">
                  <c:v>3.5890736342040626</c:v>
                </c:pt>
                <c:pt idx="9">
                  <c:v>5.8693586698335238</c:v>
                </c:pt>
                <c:pt idx="10">
                  <c:v>7.2945368171019211</c:v>
                </c:pt>
                <c:pt idx="11">
                  <c:v>8.7197149643703185</c:v>
                </c:pt>
                <c:pt idx="12">
                  <c:v>9.8598574821850278</c:v>
                </c:pt>
                <c:pt idx="13">
                  <c:v>10.714964370546177</c:v>
                </c:pt>
                <c:pt idx="14">
                  <c:v>11.570071258907241</c:v>
                </c:pt>
                <c:pt idx="15">
                  <c:v>14.420427553444036</c:v>
                </c:pt>
                <c:pt idx="16">
                  <c:v>18.695961995249355</c:v>
                </c:pt>
                <c:pt idx="17">
                  <c:v>24.396674584322945</c:v>
                </c:pt>
                <c:pt idx="18">
                  <c:v>30.382422802850243</c:v>
                </c:pt>
                <c:pt idx="19">
                  <c:v>33.232779097387038</c:v>
                </c:pt>
                <c:pt idx="20">
                  <c:v>34.08788598574808</c:v>
                </c:pt>
                <c:pt idx="21">
                  <c:v>37.223277909738563</c:v>
                </c:pt>
                <c:pt idx="22">
                  <c:v>48.054631828978494</c:v>
                </c:pt>
                <c:pt idx="23">
                  <c:v>64.871733966745751</c:v>
                </c:pt>
                <c:pt idx="24">
                  <c:v>80.548693586697311</c:v>
                </c:pt>
                <c:pt idx="25">
                  <c:v>89.384798099760786</c:v>
                </c:pt>
                <c:pt idx="26">
                  <c:v>172.61520190023683</c:v>
                </c:pt>
              </c:numCache>
            </c:numRef>
          </c:xVal>
          <c:yVal>
            <c:numRef>
              <c:f>Continuous!$V$5:$V$31</c:f>
              <c:numCache>
                <c:formatCode>0%</c:formatCode>
                <c:ptCount val="27"/>
                <c:pt idx="0">
                  <c:v>0.77247782851592794</c:v>
                </c:pt>
                <c:pt idx="1">
                  <c:v>0.81238897872104587</c:v>
                </c:pt>
                <c:pt idx="2">
                  <c:v>0.75122302371389149</c:v>
                </c:pt>
                <c:pt idx="3">
                  <c:v>0.8231748540016901</c:v>
                </c:pt>
                <c:pt idx="4">
                  <c:v>0.80870457586646283</c:v>
                </c:pt>
                <c:pt idx="5">
                  <c:v>0.79716355323668131</c:v>
                </c:pt>
                <c:pt idx="6">
                  <c:v>0.78918990861489025</c:v>
                </c:pt>
                <c:pt idx="7">
                  <c:v>0.77818674421789202</c:v>
                </c:pt>
                <c:pt idx="8">
                  <c:v>0.8131329907893533</c:v>
                </c:pt>
                <c:pt idx="9">
                  <c:v>0.80228507394419424</c:v>
                </c:pt>
                <c:pt idx="10">
                  <c:v>0.82391724458995597</c:v>
                </c:pt>
                <c:pt idx="11">
                  <c:v>0.84735991155480761</c:v>
                </c:pt>
                <c:pt idx="12">
                  <c:v>0.84873790896304946</c:v>
                </c:pt>
                <c:pt idx="13">
                  <c:v>0.93773779416487646</c:v>
                </c:pt>
                <c:pt idx="14">
                  <c:v>0.91344343176666776</c:v>
                </c:pt>
                <c:pt idx="15">
                  <c:v>0.89126332602124936</c:v>
                </c:pt>
                <c:pt idx="16">
                  <c:v>0.93517454964543256</c:v>
                </c:pt>
                <c:pt idx="17">
                  <c:v>0.89758383986742829</c:v>
                </c:pt>
                <c:pt idx="18">
                  <c:v>0.89989475139612818</c:v>
                </c:pt>
                <c:pt idx="19">
                  <c:v>1</c:v>
                </c:pt>
                <c:pt idx="20">
                  <c:v>0.96971161404633022</c:v>
                </c:pt>
                <c:pt idx="21">
                  <c:v>0.96173796942453815</c:v>
                </c:pt>
                <c:pt idx="22">
                  <c:v>0</c:v>
                </c:pt>
                <c:pt idx="23">
                  <c:v>0.91969748772024773</c:v>
                </c:pt>
                <c:pt idx="24">
                  <c:v>0</c:v>
                </c:pt>
                <c:pt idx="25">
                  <c:v>0.98414044391320121</c:v>
                </c:pt>
                <c:pt idx="26">
                  <c:v>0</c:v>
                </c:pt>
              </c:numCache>
            </c:numRef>
          </c:yVal>
          <c:smooth val="0"/>
          <c:extLst>
            <c:ext xmlns:c16="http://schemas.microsoft.com/office/drawing/2014/chart" uri="{C3380CC4-5D6E-409C-BE32-E72D297353CC}">
              <c16:uniqueId val="{0000000A-164F-4E4A-8DC6-B2E55C19C894}"/>
            </c:ext>
          </c:extLst>
        </c:ser>
        <c:dLbls>
          <c:showLegendKey val="0"/>
          <c:showVal val="0"/>
          <c:showCatName val="0"/>
          <c:showSerName val="0"/>
          <c:showPercent val="0"/>
          <c:showBubbleSize val="0"/>
        </c:dLbls>
        <c:axId val="603993528"/>
        <c:axId val="603991608"/>
      </c:scatterChart>
      <c:valAx>
        <c:axId val="603993528"/>
        <c:scaling>
          <c:orientation val="minMax"/>
          <c:max val="300"/>
          <c:min val="-1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ltLang="ja-JP"/>
                  <a:t>Time (hours)</a:t>
                </a:r>
                <a:endParaRPr lang="ja-JP"/>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603991608"/>
        <c:crosses val="autoZero"/>
        <c:crossBetween val="midCat"/>
      </c:valAx>
      <c:valAx>
        <c:axId val="603991608"/>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ltLang="ja-JP"/>
                  <a:t>Relative intensity</a:t>
                </a:r>
                <a:r>
                  <a:rPr lang="en-US" altLang="ja-JP" baseline="0"/>
                  <a:t> of phenomena</a:t>
                </a:r>
                <a:endParaRPr lang="ja-JP"/>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603993528"/>
        <c:crosses val="autoZero"/>
        <c:crossBetween val="midCat"/>
      </c:valAx>
      <c:spPr>
        <a:noFill/>
        <a:ln>
          <a:noFill/>
        </a:ln>
        <a:effectLst/>
      </c:spPr>
    </c:plotArea>
    <c:legend>
      <c:legendPos val="b"/>
      <c:layout>
        <c:manualLayout>
          <c:xMode val="edge"/>
          <c:yMode val="edge"/>
          <c:x val="2.7673354007130356E-2"/>
          <c:y val="0.82114593585899676"/>
          <c:w val="0.9350848801010182"/>
          <c:h val="0.1427271020487116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Continuous!$A$1</c:f>
              <c:strCache>
                <c:ptCount val="1"/>
                <c:pt idx="0">
                  <c:v>PCC 2011 Mass</c:v>
                </c:pt>
              </c:strCache>
            </c:strRef>
          </c:tx>
          <c:spPr>
            <a:ln w="19050" cap="rnd">
              <a:solidFill>
                <a:schemeClr val="accent1"/>
              </a:solidFill>
              <a:round/>
            </a:ln>
            <a:effectLst/>
          </c:spPr>
          <c:marker>
            <c:symbol val="none"/>
          </c:marker>
          <c:xVal>
            <c:numRef>
              <c:f>Continuous!$C$4:$C$30</c:f>
              <c:numCache>
                <c:formatCode>General</c:formatCode>
                <c:ptCount val="27"/>
                <c:pt idx="0">
                  <c:v>0</c:v>
                </c:pt>
                <c:pt idx="1">
                  <c:v>0</c:v>
                </c:pt>
                <c:pt idx="2">
                  <c:v>24</c:v>
                </c:pt>
                <c:pt idx="3">
                  <c:v>48</c:v>
                </c:pt>
                <c:pt idx="4">
                  <c:v>72</c:v>
                </c:pt>
                <c:pt idx="5">
                  <c:v>96</c:v>
                </c:pt>
                <c:pt idx="6">
                  <c:v>120</c:v>
                </c:pt>
                <c:pt idx="7">
                  <c:v>144</c:v>
                </c:pt>
                <c:pt idx="8">
                  <c:v>168</c:v>
                </c:pt>
                <c:pt idx="9">
                  <c:v>192</c:v>
                </c:pt>
                <c:pt idx="10">
                  <c:v>216</c:v>
                </c:pt>
                <c:pt idx="11">
                  <c:v>240</c:v>
                </c:pt>
                <c:pt idx="12">
                  <c:v>264</c:v>
                </c:pt>
                <c:pt idx="13">
                  <c:v>288</c:v>
                </c:pt>
                <c:pt idx="14">
                  <c:v>312</c:v>
                </c:pt>
                <c:pt idx="15">
                  <c:v>336</c:v>
                </c:pt>
                <c:pt idx="16">
                  <c:v>360</c:v>
                </c:pt>
                <c:pt idx="17">
                  <c:v>384</c:v>
                </c:pt>
                <c:pt idx="18">
                  <c:v>408</c:v>
                </c:pt>
                <c:pt idx="19">
                  <c:v>432</c:v>
                </c:pt>
                <c:pt idx="20">
                  <c:v>456</c:v>
                </c:pt>
                <c:pt idx="21">
                  <c:v>480</c:v>
                </c:pt>
                <c:pt idx="22">
                  <c:v>504</c:v>
                </c:pt>
                <c:pt idx="23">
                  <c:v>528</c:v>
                </c:pt>
                <c:pt idx="24">
                  <c:v>552</c:v>
                </c:pt>
                <c:pt idx="25">
                  <c:v>576</c:v>
                </c:pt>
                <c:pt idx="26">
                  <c:v>600</c:v>
                </c:pt>
              </c:numCache>
            </c:numRef>
          </c:xVal>
          <c:yVal>
            <c:numRef>
              <c:f>Continuous!$B$4:$B$30</c:f>
              <c:numCache>
                <c:formatCode>0.E+00</c:formatCode>
                <c:ptCount val="27"/>
                <c:pt idx="0">
                  <c:v>1</c:v>
                </c:pt>
                <c:pt idx="1">
                  <c:v>8572958.0596050993</c:v>
                </c:pt>
                <c:pt idx="2">
                  <c:v>5793192.1447737599</c:v>
                </c:pt>
                <c:pt idx="3">
                  <c:v>2958861.3849752499</c:v>
                </c:pt>
                <c:pt idx="4">
                  <c:v>2365158.1311899298</c:v>
                </c:pt>
                <c:pt idx="5">
                  <c:v>4378621.3064694405</c:v>
                </c:pt>
                <c:pt idx="6">
                  <c:v>4897445.42227263</c:v>
                </c:pt>
                <c:pt idx="7">
                  <c:v>816308.09518511302</c:v>
                </c:pt>
                <c:pt idx="8">
                  <c:v>1351136.0701886499</c:v>
                </c:pt>
                <c:pt idx="9">
                  <c:v>3914760.2254587901</c:v>
                </c:pt>
                <c:pt idx="10">
                  <c:v>4140199.5764592099</c:v>
                </c:pt>
                <c:pt idx="11">
                  <c:v>1277564.92146711</c:v>
                </c:pt>
                <c:pt idx="12">
                  <c:v>466329.62813218101</c:v>
                </c:pt>
                <c:pt idx="13">
                  <c:v>180019.33328915399</c:v>
                </c:pt>
                <c:pt idx="14">
                  <c:v>58748.524085958699</c:v>
                </c:pt>
                <c:pt idx="15">
                  <c:v>616983.50907375396</c:v>
                </c:pt>
                <c:pt idx="16">
                  <c:v>41985.594204348301</c:v>
                </c:pt>
                <c:pt idx="17">
                  <c:v>212945.01471630199</c:v>
                </c:pt>
                <c:pt idx="18">
                  <c:v>121648.394902584</c:v>
                </c:pt>
                <c:pt idx="19">
                  <c:v>62131.676151323998</c:v>
                </c:pt>
                <c:pt idx="20">
                  <c:v>333270.100599889</c:v>
                </c:pt>
                <c:pt idx="21">
                  <c:v>23984.971664139201</c:v>
                </c:pt>
                <c:pt idx="22">
                  <c:v>115024.47866603101</c:v>
                </c:pt>
                <c:pt idx="23">
                  <c:v>22678.958186800701</c:v>
                </c:pt>
                <c:pt idx="24">
                  <c:v>372759.372031493</c:v>
                </c:pt>
                <c:pt idx="25">
                  <c:v>466329.62813218101</c:v>
                </c:pt>
                <c:pt idx="26">
                  <c:v>394225.471120678</c:v>
                </c:pt>
              </c:numCache>
            </c:numRef>
          </c:yVal>
          <c:smooth val="0"/>
          <c:extLst>
            <c:ext xmlns:c16="http://schemas.microsoft.com/office/drawing/2014/chart" uri="{C3380CC4-5D6E-409C-BE32-E72D297353CC}">
              <c16:uniqueId val="{00000000-2FBA-4919-8506-6A13951966A0}"/>
            </c:ext>
          </c:extLst>
        </c:ser>
        <c:ser>
          <c:idx val="2"/>
          <c:order val="1"/>
          <c:tx>
            <c:strRef>
              <c:f>Continuous!$E$1</c:f>
              <c:strCache>
                <c:ptCount val="1"/>
                <c:pt idx="0">
                  <c:v>PCC 2011 Lava</c:v>
                </c:pt>
              </c:strCache>
            </c:strRef>
          </c:tx>
          <c:spPr>
            <a:ln w="19050" cap="rnd">
              <a:solidFill>
                <a:schemeClr val="accent1"/>
              </a:solidFill>
              <a:prstDash val="sysDot"/>
              <a:round/>
            </a:ln>
            <a:effectLst/>
          </c:spPr>
          <c:marker>
            <c:symbol val="none"/>
          </c:marker>
          <c:xVal>
            <c:numRef>
              <c:f>Continuous!$G$4:$G$28</c:f>
              <c:numCache>
                <c:formatCode>General</c:formatCode>
                <c:ptCount val="25"/>
                <c:pt idx="0">
                  <c:v>273.5</c:v>
                </c:pt>
                <c:pt idx="1">
                  <c:v>297.5</c:v>
                </c:pt>
                <c:pt idx="2">
                  <c:v>321.5</c:v>
                </c:pt>
                <c:pt idx="3">
                  <c:v>393.5</c:v>
                </c:pt>
                <c:pt idx="4">
                  <c:v>417.5</c:v>
                </c:pt>
                <c:pt idx="5">
                  <c:v>465.5</c:v>
                </c:pt>
                <c:pt idx="6">
                  <c:v>489.5</c:v>
                </c:pt>
                <c:pt idx="7">
                  <c:v>537.5</c:v>
                </c:pt>
                <c:pt idx="8">
                  <c:v>585.5</c:v>
                </c:pt>
                <c:pt idx="9">
                  <c:v>681.5</c:v>
                </c:pt>
                <c:pt idx="10">
                  <c:v>729.5</c:v>
                </c:pt>
                <c:pt idx="11">
                  <c:v>921.5</c:v>
                </c:pt>
                <c:pt idx="12">
                  <c:v>945.5</c:v>
                </c:pt>
                <c:pt idx="13">
                  <c:v>969.5</c:v>
                </c:pt>
                <c:pt idx="14">
                  <c:v>1065.5</c:v>
                </c:pt>
                <c:pt idx="15">
                  <c:v>1113.5</c:v>
                </c:pt>
                <c:pt idx="16">
                  <c:v>1185.5</c:v>
                </c:pt>
                <c:pt idx="17">
                  <c:v>1329.5</c:v>
                </c:pt>
                <c:pt idx="18">
                  <c:v>1377.5</c:v>
                </c:pt>
                <c:pt idx="19">
                  <c:v>1521.5</c:v>
                </c:pt>
                <c:pt idx="20">
                  <c:v>1641.5</c:v>
                </c:pt>
                <c:pt idx="21">
                  <c:v>1761.5</c:v>
                </c:pt>
                <c:pt idx="22">
                  <c:v>3009.5</c:v>
                </c:pt>
                <c:pt idx="23">
                  <c:v>3633.5</c:v>
                </c:pt>
                <c:pt idx="24">
                  <c:v>4857.5</c:v>
                </c:pt>
              </c:numCache>
            </c:numRef>
          </c:xVal>
          <c:yVal>
            <c:numRef>
              <c:f>Continuous!$I$4:$I$28</c:f>
              <c:numCache>
                <c:formatCode>0.E+00</c:formatCode>
                <c:ptCount val="25"/>
                <c:pt idx="0">
                  <c:v>109999.99999999991</c:v>
                </c:pt>
                <c:pt idx="1">
                  <c:v>117999.99999999987</c:v>
                </c:pt>
                <c:pt idx="2">
                  <c:v>126999.99999999994</c:v>
                </c:pt>
                <c:pt idx="3">
                  <c:v>125999.99999999983</c:v>
                </c:pt>
                <c:pt idx="4">
                  <c:v>165999.99999999985</c:v>
                </c:pt>
                <c:pt idx="5">
                  <c:v>133999.9999999998</c:v>
                </c:pt>
                <c:pt idx="6">
                  <c:v>111999.9999999999</c:v>
                </c:pt>
                <c:pt idx="7">
                  <c:v>130999.99999999993</c:v>
                </c:pt>
                <c:pt idx="8">
                  <c:v>141999.99999999997</c:v>
                </c:pt>
                <c:pt idx="9">
                  <c:v>104999.99999999981</c:v>
                </c:pt>
                <c:pt idx="10">
                  <c:v>108999.9999999998</c:v>
                </c:pt>
                <c:pt idx="11">
                  <c:v>65999.999999999898</c:v>
                </c:pt>
                <c:pt idx="12">
                  <c:v>48999.999999999869</c:v>
                </c:pt>
                <c:pt idx="13">
                  <c:v>60999.999999999811</c:v>
                </c:pt>
                <c:pt idx="14">
                  <c:v>59999.999999999935</c:v>
                </c:pt>
                <c:pt idx="15">
                  <c:v>66999.999999999782</c:v>
                </c:pt>
                <c:pt idx="16">
                  <c:v>34999.999999999942</c:v>
                </c:pt>
                <c:pt idx="17">
                  <c:v>55999.999999999949</c:v>
                </c:pt>
                <c:pt idx="18">
                  <c:v>103999.99999999994</c:v>
                </c:pt>
                <c:pt idx="19">
                  <c:v>63999.999999999905</c:v>
                </c:pt>
                <c:pt idx="20">
                  <c:v>70999.999999999985</c:v>
                </c:pt>
                <c:pt idx="21">
                  <c:v>61999.999999999927</c:v>
                </c:pt>
                <c:pt idx="22">
                  <c:v>43999.999999999782</c:v>
                </c:pt>
                <c:pt idx="23">
                  <c:v>48999.999999999869</c:v>
                </c:pt>
                <c:pt idx="24">
                  <c:v>46999.999999999876</c:v>
                </c:pt>
              </c:numCache>
            </c:numRef>
          </c:yVal>
          <c:smooth val="0"/>
          <c:extLst>
            <c:ext xmlns:c16="http://schemas.microsoft.com/office/drawing/2014/chart" uri="{C3380CC4-5D6E-409C-BE32-E72D297353CC}">
              <c16:uniqueId val="{00000003-2FBA-4919-8506-6A13951966A0}"/>
            </c:ext>
          </c:extLst>
        </c:ser>
        <c:ser>
          <c:idx val="1"/>
          <c:order val="2"/>
          <c:tx>
            <c:strRef>
              <c:f>Continuous!$J$1</c:f>
              <c:strCache>
                <c:ptCount val="1"/>
                <c:pt idx="0">
                  <c:v>Katmai 1912 Volume</c:v>
                </c:pt>
              </c:strCache>
            </c:strRef>
          </c:tx>
          <c:spPr>
            <a:ln w="19050" cap="rnd">
              <a:solidFill>
                <a:schemeClr val="accent2"/>
              </a:solidFill>
              <a:round/>
            </a:ln>
            <a:effectLst/>
          </c:spPr>
          <c:marker>
            <c:symbol val="none"/>
          </c:marker>
          <c:xVal>
            <c:numRef>
              <c:f>Continuous!$N$4:$N$12</c:f>
              <c:numCache>
                <c:formatCode>General</c:formatCode>
                <c:ptCount val="9"/>
                <c:pt idx="0">
                  <c:v>0</c:v>
                </c:pt>
                <c:pt idx="1">
                  <c:v>3.999999999996362</c:v>
                </c:pt>
                <c:pt idx="2">
                  <c:v>9.499999999992724</c:v>
                </c:pt>
                <c:pt idx="3">
                  <c:v>13.999999999992724</c:v>
                </c:pt>
                <c:pt idx="4">
                  <c:v>18.999999999996362</c:v>
                </c:pt>
                <c:pt idx="5">
                  <c:v>30.999999999996362</c:v>
                </c:pt>
                <c:pt idx="6">
                  <c:v>46.499999999989086</c:v>
                </c:pt>
                <c:pt idx="7">
                  <c:v>55.999999999992724</c:v>
                </c:pt>
                <c:pt idx="8">
                  <c:v>62.499999999996362</c:v>
                </c:pt>
              </c:numCache>
            </c:numRef>
          </c:xVal>
          <c:yVal>
            <c:numRef>
              <c:f>Continuous!$P$4:$P$12</c:f>
              <c:numCache>
                <c:formatCode>0.E+00</c:formatCode>
                <c:ptCount val="9"/>
                <c:pt idx="0">
                  <c:v>1</c:v>
                </c:pt>
                <c:pt idx="1">
                  <c:v>451423785.59504986</c:v>
                </c:pt>
                <c:pt idx="2">
                  <c:v>625348967.05792367</c:v>
                </c:pt>
                <c:pt idx="3">
                  <c:v>122836404.24343844</c:v>
                </c:pt>
                <c:pt idx="4">
                  <c:v>24567280.848670226</c:v>
                </c:pt>
                <c:pt idx="5">
                  <c:v>104922761.95793489</c:v>
                </c:pt>
                <c:pt idx="6">
                  <c:v>1981232.3265077721</c:v>
                </c:pt>
                <c:pt idx="7">
                  <c:v>113138793.38207529</c:v>
                </c:pt>
                <c:pt idx="8">
                  <c:v>1</c:v>
                </c:pt>
              </c:numCache>
            </c:numRef>
          </c:yVal>
          <c:smooth val="0"/>
          <c:extLst>
            <c:ext xmlns:c16="http://schemas.microsoft.com/office/drawing/2014/chart" uri="{C3380CC4-5D6E-409C-BE32-E72D297353CC}">
              <c16:uniqueId val="{00000004-2FBA-4919-8506-6A13951966A0}"/>
            </c:ext>
          </c:extLst>
        </c:ser>
        <c:ser>
          <c:idx val="3"/>
          <c:order val="3"/>
          <c:tx>
            <c:strRef>
              <c:f>Continuous!$W$1</c:f>
              <c:strCache>
                <c:ptCount val="1"/>
                <c:pt idx="0">
                  <c:v>Pinatubo 1991 Column</c:v>
                </c:pt>
              </c:strCache>
            </c:strRef>
          </c:tx>
          <c:spPr>
            <a:ln w="19050" cap="rnd">
              <a:solidFill>
                <a:schemeClr val="accent4"/>
              </a:solidFill>
              <a:round/>
            </a:ln>
            <a:effectLst/>
          </c:spPr>
          <c:marker>
            <c:symbol val="none"/>
          </c:marker>
          <c:xVal>
            <c:numRef>
              <c:f>Continuous!$Y$4:$Y$46</c:f>
              <c:numCache>
                <c:formatCode>General</c:formatCode>
                <c:ptCount val="43"/>
                <c:pt idx="0">
                  <c:v>-8.6331401985120095</c:v>
                </c:pt>
                <c:pt idx="1">
                  <c:v>-6.8465397022343808</c:v>
                </c:pt>
                <c:pt idx="2">
                  <c:v>-5.6140645161312079</c:v>
                </c:pt>
                <c:pt idx="3">
                  <c:v>-4.9301315136480071</c:v>
                </c:pt>
                <c:pt idx="4">
                  <c:v>-4.0200818858567828</c:v>
                </c:pt>
                <c:pt idx="5">
                  <c:v>-2.7610868486375892</c:v>
                </c:pt>
                <c:pt idx="6">
                  <c:v>0.45479404466398421</c:v>
                </c:pt>
                <c:pt idx="7">
                  <c:v>2.4228461538456116</c:v>
                </c:pt>
                <c:pt idx="8">
                  <c:v>4.5723498759288077</c:v>
                </c:pt>
                <c:pt idx="9">
                  <c:v>8.1650918114135891</c:v>
                </c:pt>
                <c:pt idx="10">
                  <c:v>9.0681625310160143</c:v>
                </c:pt>
                <c:pt idx="11">
                  <c:v>23.898342431759986</c:v>
                </c:pt>
                <c:pt idx="12">
                  <c:v>24.222163771711195</c:v>
                </c:pt>
                <c:pt idx="13">
                  <c:v>31.552808933001586</c:v>
                </c:pt>
                <c:pt idx="14">
                  <c:v>35.667573200990404</c:v>
                </c:pt>
                <c:pt idx="15">
                  <c:v>39.963789081885608</c:v>
                </c:pt>
                <c:pt idx="16">
                  <c:v>42.834911910669618</c:v>
                </c:pt>
                <c:pt idx="17">
                  <c:v>53.375854838709614</c:v>
                </c:pt>
                <c:pt idx="18">
                  <c:v>53.444248138955999</c:v>
                </c:pt>
                <c:pt idx="19">
                  <c:v>54.510625310171989</c:v>
                </c:pt>
                <c:pt idx="20">
                  <c:v>54.805135235731214</c:v>
                </c:pt>
                <c:pt idx="21">
                  <c:v>56.414471464017595</c:v>
                </c:pt>
                <c:pt idx="22">
                  <c:v>56.353057071960009</c:v>
                </c:pt>
                <c:pt idx="23">
                  <c:v>56.842976426798401</c:v>
                </c:pt>
                <c:pt idx="24">
                  <c:v>57.733485111662404</c:v>
                </c:pt>
                <c:pt idx="25">
                  <c:v>58.022411910669618</c:v>
                </c:pt>
                <c:pt idx="26">
                  <c:v>60.522256823820001</c:v>
                </c:pt>
                <c:pt idx="27">
                  <c:v>60.964719602976018</c:v>
                </c:pt>
                <c:pt idx="28">
                  <c:v>62.197194789081621</c:v>
                </c:pt>
                <c:pt idx="29">
                  <c:v>62.487517369725623</c:v>
                </c:pt>
                <c:pt idx="30">
                  <c:v>76.781717121588002</c:v>
                </c:pt>
                <c:pt idx="31">
                  <c:v>76.670054590569606</c:v>
                </c:pt>
                <c:pt idx="32">
                  <c:v>77.73364019850959</c:v>
                </c:pt>
                <c:pt idx="33">
                  <c:v>78.994031017368002</c:v>
                </c:pt>
                <c:pt idx="34">
                  <c:v>79.552343672455208</c:v>
                </c:pt>
                <c:pt idx="35">
                  <c:v>82.24201488833522</c:v>
                </c:pt>
                <c:pt idx="36">
                  <c:v>83.329328784117607</c:v>
                </c:pt>
                <c:pt idx="37">
                  <c:v>84.431996277914422</c:v>
                </c:pt>
                <c:pt idx="38">
                  <c:v>86.232554590569606</c:v>
                </c:pt>
                <c:pt idx="39">
                  <c:v>89.999769230767242</c:v>
                </c:pt>
                <c:pt idx="40">
                  <c:v>95.908112903224833</c:v>
                </c:pt>
                <c:pt idx="41">
                  <c:v>103.97154342431759</c:v>
                </c:pt>
                <c:pt idx="42">
                  <c:v>110.95045161290162</c:v>
                </c:pt>
              </c:numCache>
            </c:numRef>
          </c:xVal>
          <c:yVal>
            <c:numRef>
              <c:f>Continuous!$AA$4:$AA$46</c:f>
              <c:numCache>
                <c:formatCode>0.E+00</c:formatCode>
                <c:ptCount val="43"/>
                <c:pt idx="0">
                  <c:v>1276.3581514468219</c:v>
                </c:pt>
                <c:pt idx="1">
                  <c:v>1276.3581514468219</c:v>
                </c:pt>
                <c:pt idx="2">
                  <c:v>32939.465065253236</c:v>
                </c:pt>
                <c:pt idx="3">
                  <c:v>495443.34616620932</c:v>
                </c:pt>
                <c:pt idx="4">
                  <c:v>140604.27407364608</c:v>
                </c:pt>
                <c:pt idx="5">
                  <c:v>62612.565464134997</c:v>
                </c:pt>
                <c:pt idx="6">
                  <c:v>62612.565464134997</c:v>
                </c:pt>
                <c:pt idx="7">
                  <c:v>45978.907876935926</c:v>
                </c:pt>
                <c:pt idx="8">
                  <c:v>22922.617360789842</c:v>
                </c:pt>
                <c:pt idx="9">
                  <c:v>338.61899309643377</c:v>
                </c:pt>
                <c:pt idx="10">
                  <c:v>5.8456979066649872E-2</c:v>
                </c:pt>
                <c:pt idx="11">
                  <c:v>1</c:v>
                </c:pt>
                <c:pt idx="12">
                  <c:v>32939.465065253236</c:v>
                </c:pt>
                <c:pt idx="13">
                  <c:v>15409.717726935512</c:v>
                </c:pt>
                <c:pt idx="14">
                  <c:v>6081.3914973996889</c:v>
                </c:pt>
                <c:pt idx="15">
                  <c:v>858.03111061445679</c:v>
                </c:pt>
                <c:pt idx="16">
                  <c:v>5.8456979066649872E-2</c:v>
                </c:pt>
                <c:pt idx="17">
                  <c:v>5.8456979066649872E-2</c:v>
                </c:pt>
                <c:pt idx="18">
                  <c:v>4970247.1006986853</c:v>
                </c:pt>
                <c:pt idx="19">
                  <c:v>6090693.2416647738</c:v>
                </c:pt>
                <c:pt idx="20">
                  <c:v>5.8456979066649872E-2</c:v>
                </c:pt>
                <c:pt idx="21">
                  <c:v>1</c:v>
                </c:pt>
                <c:pt idx="22">
                  <c:v>411676.28856646648</c:v>
                </c:pt>
                <c:pt idx="23">
                  <c:v>4238521.49280662</c:v>
                </c:pt>
                <c:pt idx="24">
                  <c:v>4716457.3898536414</c:v>
                </c:pt>
                <c:pt idx="25">
                  <c:v>1</c:v>
                </c:pt>
                <c:pt idx="26">
                  <c:v>5.8456979066649872E-2</c:v>
                </c:pt>
                <c:pt idx="27">
                  <c:v>2525167.383644118</c:v>
                </c:pt>
                <c:pt idx="28">
                  <c:v>5234283.9689994184</c:v>
                </c:pt>
                <c:pt idx="29">
                  <c:v>5.8456979066649872E-2</c:v>
                </c:pt>
                <c:pt idx="30">
                  <c:v>1</c:v>
                </c:pt>
                <c:pt idx="31">
                  <c:v>266338283.94051975</c:v>
                </c:pt>
                <c:pt idx="32">
                  <c:v>299842891.387914</c:v>
                </c:pt>
                <c:pt idx="33">
                  <c:v>261043454.2353127</c:v>
                </c:pt>
                <c:pt idx="34">
                  <c:v>186699031.49535906</c:v>
                </c:pt>
                <c:pt idx="35">
                  <c:v>159800192.22148189</c:v>
                </c:pt>
                <c:pt idx="36">
                  <c:v>123602844.26224628</c:v>
                </c:pt>
                <c:pt idx="37">
                  <c:v>70130507.534650877</c:v>
                </c:pt>
                <c:pt idx="38">
                  <c:v>52712790.113788962</c:v>
                </c:pt>
                <c:pt idx="39">
                  <c:v>37578000.637904517</c:v>
                </c:pt>
                <c:pt idx="40">
                  <c:v>27868188.824930362</c:v>
                </c:pt>
                <c:pt idx="41">
                  <c:v>14830027.234644163</c:v>
                </c:pt>
                <c:pt idx="42">
                  <c:v>10624288.104445392</c:v>
                </c:pt>
              </c:numCache>
            </c:numRef>
          </c:yVal>
          <c:smooth val="0"/>
          <c:extLst>
            <c:ext xmlns:c16="http://schemas.microsoft.com/office/drawing/2014/chart" uri="{C3380CC4-5D6E-409C-BE32-E72D297353CC}">
              <c16:uniqueId val="{00000005-2FBA-4919-8506-6A13951966A0}"/>
            </c:ext>
          </c:extLst>
        </c:ser>
        <c:ser>
          <c:idx val="4"/>
          <c:order val="4"/>
          <c:tx>
            <c:strRef>
              <c:f>Continuous!$AF$1</c:f>
              <c:strCache>
                <c:ptCount val="1"/>
                <c:pt idx="0">
                  <c:v>Krakatau 1883 Column</c:v>
                </c:pt>
              </c:strCache>
            </c:strRef>
          </c:tx>
          <c:spPr>
            <a:ln w="19050" cap="rnd">
              <a:solidFill>
                <a:schemeClr val="accent5"/>
              </a:solidFill>
              <a:round/>
            </a:ln>
            <a:effectLst/>
          </c:spPr>
          <c:marker>
            <c:symbol val="none"/>
          </c:marker>
          <c:xVal>
            <c:numRef>
              <c:f>Continuous!$AH$4:$AH$200</c:f>
              <c:numCache>
                <c:formatCode>General</c:formatCode>
                <c:ptCount val="197"/>
                <c:pt idx="0">
                  <c:v>-2307.8472622478398</c:v>
                </c:pt>
                <c:pt idx="1">
                  <c:v>-2305.0806916426559</c:v>
                </c:pt>
                <c:pt idx="2">
                  <c:v>-2299.5475504322881</c:v>
                </c:pt>
                <c:pt idx="3">
                  <c:v>-2288.4812680115278</c:v>
                </c:pt>
                <c:pt idx="4">
                  <c:v>-2280.1815561959761</c:v>
                </c:pt>
                <c:pt idx="5">
                  <c:v>-2274.6484149856083</c:v>
                </c:pt>
                <c:pt idx="6">
                  <c:v>-2258.0489913544802</c:v>
                </c:pt>
                <c:pt idx="7">
                  <c:v>-2238.6829971181683</c:v>
                </c:pt>
                <c:pt idx="8">
                  <c:v>-2224.8501440922241</c:v>
                </c:pt>
                <c:pt idx="9">
                  <c:v>-2219.3170028818563</c:v>
                </c:pt>
                <c:pt idx="10">
                  <c:v>-2197.18443804036</c:v>
                </c:pt>
                <c:pt idx="11">
                  <c:v>-2194.417867435176</c:v>
                </c:pt>
                <c:pt idx="12">
                  <c:v>-2180.5850144092319</c:v>
                </c:pt>
                <c:pt idx="13">
                  <c:v>-2161.21902017292</c:v>
                </c:pt>
                <c:pt idx="14">
                  <c:v>-2150.1527377521843</c:v>
                </c:pt>
                <c:pt idx="15">
                  <c:v>-2147.3861671469763</c:v>
                </c:pt>
                <c:pt idx="16">
                  <c:v>-2136.3198847262402</c:v>
                </c:pt>
                <c:pt idx="17">
                  <c:v>-2130.7867435158723</c:v>
                </c:pt>
                <c:pt idx="18">
                  <c:v>-2125.2536023054799</c:v>
                </c:pt>
                <c:pt idx="19">
                  <c:v>-2114.1873198847443</c:v>
                </c:pt>
                <c:pt idx="20">
                  <c:v>-2097.5878962536162</c:v>
                </c:pt>
                <c:pt idx="21">
                  <c:v>-2086.521613832856</c:v>
                </c:pt>
                <c:pt idx="22">
                  <c:v>-2080.9884726224882</c:v>
                </c:pt>
                <c:pt idx="23">
                  <c:v>-2067.1556195965441</c:v>
                </c:pt>
                <c:pt idx="24">
                  <c:v>-2058.8559077809923</c:v>
                </c:pt>
                <c:pt idx="25">
                  <c:v>-2047.7896253602319</c:v>
                </c:pt>
                <c:pt idx="26">
                  <c:v>-1591.3054755043443</c:v>
                </c:pt>
                <c:pt idx="27">
                  <c:v>-1585.7723342939519</c:v>
                </c:pt>
                <c:pt idx="28">
                  <c:v>-1577.4726224784001</c:v>
                </c:pt>
                <c:pt idx="29">
                  <c:v>-1563.639769452456</c:v>
                </c:pt>
                <c:pt idx="30">
                  <c:v>-1547.0403458213279</c:v>
                </c:pt>
                <c:pt idx="31">
                  <c:v>-1524.9077809798321</c:v>
                </c:pt>
                <c:pt idx="32">
                  <c:v>-1488.9423631123921</c:v>
                </c:pt>
                <c:pt idx="33">
                  <c:v>-1452.9769452449759</c:v>
                </c:pt>
                <c:pt idx="34">
                  <c:v>-1441.9106628242157</c:v>
                </c:pt>
                <c:pt idx="35">
                  <c:v>-1430.84438040348</c:v>
                </c:pt>
                <c:pt idx="36">
                  <c:v>-1425.3112391930883</c:v>
                </c:pt>
                <c:pt idx="37">
                  <c:v>-1419.7780979827198</c:v>
                </c:pt>
                <c:pt idx="38">
                  <c:v>-1414.244956772352</c:v>
                </c:pt>
                <c:pt idx="39">
                  <c:v>-1364.4466858789679</c:v>
                </c:pt>
                <c:pt idx="40">
                  <c:v>-1342.314121037472</c:v>
                </c:pt>
                <c:pt idx="41">
                  <c:v>-1314.6484149856083</c:v>
                </c:pt>
                <c:pt idx="42">
                  <c:v>-1300.8155619596641</c:v>
                </c:pt>
                <c:pt idx="43">
                  <c:v>-1292.5158501441117</c:v>
                </c:pt>
                <c:pt idx="44">
                  <c:v>-1273.1498559077997</c:v>
                </c:pt>
                <c:pt idx="45">
                  <c:v>-1245.4841498559122</c:v>
                </c:pt>
                <c:pt idx="46">
                  <c:v>-1223.3515850144163</c:v>
                </c:pt>
                <c:pt idx="47">
                  <c:v>-1187.3861671469763</c:v>
                </c:pt>
                <c:pt idx="48">
                  <c:v>-1173.553314121056</c:v>
                </c:pt>
                <c:pt idx="49">
                  <c:v>-1159.7204610951119</c:v>
                </c:pt>
                <c:pt idx="50">
                  <c:v>-1137.587896253616</c:v>
                </c:pt>
                <c:pt idx="51">
                  <c:v>-1104.3890489913599</c:v>
                </c:pt>
                <c:pt idx="52">
                  <c:v>-1051.8242074928157</c:v>
                </c:pt>
                <c:pt idx="53">
                  <c:v>-1037.9913544668723</c:v>
                </c:pt>
                <c:pt idx="54">
                  <c:v>-1024.1585014409281</c:v>
                </c:pt>
                <c:pt idx="55">
                  <c:v>-1010.3256484150079</c:v>
                </c:pt>
                <c:pt idx="56">
                  <c:v>-982.65994236312031</c:v>
                </c:pt>
                <c:pt idx="57">
                  <c:v>-952.227665706072</c:v>
                </c:pt>
                <c:pt idx="58">
                  <c:v>-930.09510086457612</c:v>
                </c:pt>
                <c:pt idx="59">
                  <c:v>-919.02881844381591</c:v>
                </c:pt>
                <c:pt idx="60">
                  <c:v>-888.59654178674373</c:v>
                </c:pt>
                <c:pt idx="61">
                  <c:v>-838.79827089338414</c:v>
                </c:pt>
                <c:pt idx="62">
                  <c:v>-786.23342939481608</c:v>
                </c:pt>
                <c:pt idx="63">
                  <c:v>-733.6685878962719</c:v>
                </c:pt>
                <c:pt idx="64">
                  <c:v>-714.30259365995994</c:v>
                </c:pt>
                <c:pt idx="65">
                  <c:v>-675.57060518733601</c:v>
                </c:pt>
                <c:pt idx="66">
                  <c:v>-653.43804034584014</c:v>
                </c:pt>
                <c:pt idx="67">
                  <c:v>-625.77233429395187</c:v>
                </c:pt>
                <c:pt idx="68">
                  <c:v>-603.63976945245599</c:v>
                </c:pt>
                <c:pt idx="69">
                  <c:v>-581.50720461096012</c:v>
                </c:pt>
                <c:pt idx="70">
                  <c:v>-559.37463976946424</c:v>
                </c:pt>
                <c:pt idx="71">
                  <c:v>-526.17579250720814</c:v>
                </c:pt>
                <c:pt idx="72">
                  <c:v>-509.57636887610397</c:v>
                </c:pt>
                <c:pt idx="73">
                  <c:v>-495.74351585015984</c:v>
                </c:pt>
                <c:pt idx="74">
                  <c:v>-484.6772334294003</c:v>
                </c:pt>
                <c:pt idx="75">
                  <c:v>-468.07780979827226</c:v>
                </c:pt>
                <c:pt idx="76">
                  <c:v>-457.01152737753591</c:v>
                </c:pt>
                <c:pt idx="77">
                  <c:v>-434.87896253604004</c:v>
                </c:pt>
                <c:pt idx="78">
                  <c:v>-429.3458213256722</c:v>
                </c:pt>
                <c:pt idx="79">
                  <c:v>-368.48126801152785</c:v>
                </c:pt>
                <c:pt idx="80">
                  <c:v>-346.34870317003197</c:v>
                </c:pt>
                <c:pt idx="81">
                  <c:v>-329.74927953892779</c:v>
                </c:pt>
                <c:pt idx="82">
                  <c:v>-307.61671469740804</c:v>
                </c:pt>
                <c:pt idx="83">
                  <c:v>-299.3170028818563</c:v>
                </c:pt>
                <c:pt idx="84">
                  <c:v>-282.71757925072825</c:v>
                </c:pt>
                <c:pt idx="85">
                  <c:v>-274.41786743517582</c:v>
                </c:pt>
                <c:pt idx="86">
                  <c:v>-268.88472622478412</c:v>
                </c:pt>
                <c:pt idx="87">
                  <c:v>-263.35158501441629</c:v>
                </c:pt>
                <c:pt idx="88">
                  <c:v>-255.05187319886386</c:v>
                </c:pt>
                <c:pt idx="89">
                  <c:v>-243.98559077810432</c:v>
                </c:pt>
                <c:pt idx="90">
                  <c:v>-230.15273775218407</c:v>
                </c:pt>
                <c:pt idx="91">
                  <c:v>-216.31988472623993</c:v>
                </c:pt>
                <c:pt idx="92">
                  <c:v>-202.4870317002958</c:v>
                </c:pt>
                <c:pt idx="93">
                  <c:v>-144.38904899135991</c:v>
                </c:pt>
                <c:pt idx="94">
                  <c:v>-122.25648414986404</c:v>
                </c:pt>
                <c:pt idx="95">
                  <c:v>-94.590778098000328</c:v>
                </c:pt>
                <c:pt idx="96">
                  <c:v>-86.291066282424026</c:v>
                </c:pt>
                <c:pt idx="97">
                  <c:v>-2.4000000000114596E-2</c:v>
                </c:pt>
                <c:pt idx="98">
                  <c:v>0</c:v>
                </c:pt>
                <c:pt idx="99">
                  <c:v>18.838616714688214</c:v>
                </c:pt>
                <c:pt idx="100">
                  <c:v>43.737752161368007</c:v>
                </c:pt>
                <c:pt idx="101">
                  <c:v>63.10374639767997</c:v>
                </c:pt>
                <c:pt idx="102">
                  <c:v>76.936599423624102</c:v>
                </c:pt>
                <c:pt idx="103">
                  <c:v>76.936599423624102</c:v>
                </c:pt>
                <c:pt idx="104">
                  <c:v>85.236311239175848</c:v>
                </c:pt>
                <c:pt idx="105">
                  <c:v>87.999999999999773</c:v>
                </c:pt>
                <c:pt idx="106">
                  <c:v>88.5</c:v>
                </c:pt>
                <c:pt idx="107">
                  <c:v>89.124999999998408</c:v>
                </c:pt>
                <c:pt idx="108">
                  <c:v>90</c:v>
                </c:pt>
                <c:pt idx="109">
                  <c:v>90.624999999998408</c:v>
                </c:pt>
                <c:pt idx="110">
                  <c:v>91.125</c:v>
                </c:pt>
                <c:pt idx="111">
                  <c:v>91.5</c:v>
                </c:pt>
                <c:pt idx="112">
                  <c:v>91.749999999998408</c:v>
                </c:pt>
                <c:pt idx="113">
                  <c:v>92.625</c:v>
                </c:pt>
                <c:pt idx="114">
                  <c:v>93.499999999999545</c:v>
                </c:pt>
                <c:pt idx="115">
                  <c:v>93.999999999998408</c:v>
                </c:pt>
                <c:pt idx="116">
                  <c:v>94.249999999999545</c:v>
                </c:pt>
                <c:pt idx="117">
                  <c:v>94.875</c:v>
                </c:pt>
                <c:pt idx="118">
                  <c:v>95.25</c:v>
                </c:pt>
                <c:pt idx="119">
                  <c:v>95.625</c:v>
                </c:pt>
                <c:pt idx="120">
                  <c:v>96</c:v>
                </c:pt>
                <c:pt idx="121">
                  <c:v>96.249999999998408</c:v>
                </c:pt>
                <c:pt idx="122">
                  <c:v>96.624999999998408</c:v>
                </c:pt>
                <c:pt idx="123">
                  <c:v>97.624999999999545</c:v>
                </c:pt>
                <c:pt idx="124">
                  <c:v>98.124999999998408</c:v>
                </c:pt>
                <c:pt idx="125">
                  <c:v>98.749999999999545</c:v>
                </c:pt>
                <c:pt idx="126">
                  <c:v>99.375</c:v>
                </c:pt>
                <c:pt idx="127">
                  <c:v>99.999999999998408</c:v>
                </c:pt>
                <c:pt idx="128">
                  <c:v>100.24999999999955</c:v>
                </c:pt>
                <c:pt idx="129">
                  <c:v>100.5</c:v>
                </c:pt>
                <c:pt idx="130">
                  <c:v>100.74999999999841</c:v>
                </c:pt>
                <c:pt idx="131">
                  <c:v>101.25</c:v>
                </c:pt>
                <c:pt idx="132">
                  <c:v>101.625</c:v>
                </c:pt>
                <c:pt idx="133">
                  <c:v>102</c:v>
                </c:pt>
                <c:pt idx="134">
                  <c:v>102.49999999999955</c:v>
                </c:pt>
                <c:pt idx="135">
                  <c:v>102.99999999999841</c:v>
                </c:pt>
                <c:pt idx="136">
                  <c:v>103.875</c:v>
                </c:pt>
                <c:pt idx="137">
                  <c:v>104.12499999999841</c:v>
                </c:pt>
                <c:pt idx="138">
                  <c:v>104.25</c:v>
                </c:pt>
                <c:pt idx="139">
                  <c:v>104.49999999999841</c:v>
                </c:pt>
                <c:pt idx="140">
                  <c:v>104.74999999999955</c:v>
                </c:pt>
                <c:pt idx="141">
                  <c:v>105.24999999999841</c:v>
                </c:pt>
                <c:pt idx="142">
                  <c:v>105.49999999999955</c:v>
                </c:pt>
                <c:pt idx="143">
                  <c:v>105.62499999999841</c:v>
                </c:pt>
                <c:pt idx="144">
                  <c:v>105.87499999999955</c:v>
                </c:pt>
                <c:pt idx="145">
                  <c:v>106.24999999999955</c:v>
                </c:pt>
                <c:pt idx="146">
                  <c:v>106.99999999999955</c:v>
                </c:pt>
                <c:pt idx="147">
                  <c:v>107.625</c:v>
                </c:pt>
                <c:pt idx="148">
                  <c:v>108</c:v>
                </c:pt>
                <c:pt idx="149">
                  <c:v>108.375</c:v>
                </c:pt>
                <c:pt idx="150">
                  <c:v>108.75</c:v>
                </c:pt>
                <c:pt idx="151">
                  <c:v>108.87499999999955</c:v>
                </c:pt>
                <c:pt idx="152">
                  <c:v>108.99999999999841</c:v>
                </c:pt>
                <c:pt idx="153">
                  <c:v>109.5</c:v>
                </c:pt>
                <c:pt idx="154">
                  <c:v>110.12499999999841</c:v>
                </c:pt>
                <c:pt idx="155">
                  <c:v>110.87499999999841</c:v>
                </c:pt>
                <c:pt idx="156">
                  <c:v>111.375</c:v>
                </c:pt>
                <c:pt idx="157">
                  <c:v>111.75</c:v>
                </c:pt>
                <c:pt idx="158">
                  <c:v>112.37499999999841</c:v>
                </c:pt>
                <c:pt idx="159">
                  <c:v>112.62499999999955</c:v>
                </c:pt>
                <c:pt idx="160">
                  <c:v>112.99999999999955</c:v>
                </c:pt>
                <c:pt idx="161">
                  <c:v>113.49999999999841</c:v>
                </c:pt>
                <c:pt idx="162">
                  <c:v>113.625</c:v>
                </c:pt>
                <c:pt idx="163">
                  <c:v>113.87499999999841</c:v>
                </c:pt>
                <c:pt idx="164">
                  <c:v>114.24999999999841</c:v>
                </c:pt>
                <c:pt idx="165">
                  <c:v>114.375</c:v>
                </c:pt>
                <c:pt idx="166">
                  <c:v>114.75</c:v>
                </c:pt>
                <c:pt idx="167">
                  <c:v>114.99999999999841</c:v>
                </c:pt>
                <c:pt idx="168">
                  <c:v>115.37499999999841</c:v>
                </c:pt>
                <c:pt idx="169">
                  <c:v>115.74999999999841</c:v>
                </c:pt>
                <c:pt idx="170">
                  <c:v>115.99999999999955</c:v>
                </c:pt>
                <c:pt idx="171">
                  <c:v>116.25</c:v>
                </c:pt>
                <c:pt idx="172">
                  <c:v>116.625</c:v>
                </c:pt>
                <c:pt idx="173">
                  <c:v>117.12499999999955</c:v>
                </c:pt>
                <c:pt idx="174">
                  <c:v>117.49999999999955</c:v>
                </c:pt>
                <c:pt idx="175">
                  <c:v>117.87499999999955</c:v>
                </c:pt>
                <c:pt idx="176">
                  <c:v>118.24999999999955</c:v>
                </c:pt>
                <c:pt idx="177">
                  <c:v>118.74999999999841</c:v>
                </c:pt>
                <c:pt idx="178">
                  <c:v>119.12499999999841</c:v>
                </c:pt>
                <c:pt idx="179">
                  <c:v>119.49999999999841</c:v>
                </c:pt>
                <c:pt idx="180">
                  <c:v>121.5</c:v>
                </c:pt>
                <c:pt idx="181">
                  <c:v>121.875</c:v>
                </c:pt>
                <c:pt idx="182">
                  <c:v>122.25</c:v>
                </c:pt>
                <c:pt idx="183">
                  <c:v>122.625</c:v>
                </c:pt>
                <c:pt idx="184">
                  <c:v>123.12499999999955</c:v>
                </c:pt>
                <c:pt idx="185">
                  <c:v>123.49999999999955</c:v>
                </c:pt>
                <c:pt idx="186">
                  <c:v>124.37499999999841</c:v>
                </c:pt>
              </c:numCache>
            </c:numRef>
          </c:xVal>
          <c:yVal>
            <c:numRef>
              <c:f>Continuous!$AJ$4:$AJ$200</c:f>
              <c:numCache>
                <c:formatCode>0.E+00</c:formatCode>
                <c:ptCount val="197"/>
                <c:pt idx="0">
                  <c:v>4.6208561105950592</c:v>
                </c:pt>
                <c:pt idx="1">
                  <c:v>2031.7517491324534</c:v>
                </c:pt>
                <c:pt idx="2">
                  <c:v>15963.742786354207</c:v>
                </c:pt>
                <c:pt idx="3">
                  <c:v>38384.946837765143</c:v>
                </c:pt>
                <c:pt idx="4">
                  <c:v>63076.940701909676</c:v>
                </c:pt>
                <c:pt idx="5">
                  <c:v>2678801.2180571361</c:v>
                </c:pt>
                <c:pt idx="6">
                  <c:v>2434530.4138758788</c:v>
                </c:pt>
                <c:pt idx="7">
                  <c:v>1452478.7931298425</c:v>
                </c:pt>
                <c:pt idx="8">
                  <c:v>707869.22147390817</c:v>
                </c:pt>
                <c:pt idx="9">
                  <c:v>296677.34236559173</c:v>
                </c:pt>
                <c:pt idx="10">
                  <c:v>252020.51044441972</c:v>
                </c:pt>
                <c:pt idx="11">
                  <c:v>1621918.6214242249</c:v>
                </c:pt>
                <c:pt idx="12">
                  <c:v>1302065.4712416988</c:v>
                </c:pt>
                <c:pt idx="13">
                  <c:v>405953.11912296998</c:v>
                </c:pt>
                <c:pt idx="14">
                  <c:v>16234.686214295898</c:v>
                </c:pt>
                <c:pt idx="15">
                  <c:v>616.43297574770725</c:v>
                </c:pt>
                <c:pt idx="16">
                  <c:v>31.425524962973128</c:v>
                </c:pt>
                <c:pt idx="17">
                  <c:v>16270.062714326432</c:v>
                </c:pt>
                <c:pt idx="18">
                  <c:v>63873.989374947931</c:v>
                </c:pt>
                <c:pt idx="19">
                  <c:v>63931.212848233452</c:v>
                </c:pt>
                <c:pt idx="20">
                  <c:v>22297.08392296388</c:v>
                </c:pt>
                <c:pt idx="21">
                  <c:v>16351.14327676189</c:v>
                </c:pt>
                <c:pt idx="22">
                  <c:v>99683.467898997318</c:v>
                </c:pt>
                <c:pt idx="23">
                  <c:v>64174.847402071071</c:v>
                </c:pt>
                <c:pt idx="24">
                  <c:v>3493.3069847394095</c:v>
                </c:pt>
                <c:pt idx="25">
                  <c:v>5.6577796504991511</c:v>
                </c:pt>
                <c:pt idx="26">
                  <c:v>7.8949188826995531</c:v>
                </c:pt>
                <c:pt idx="27">
                  <c:v>83499.703418084857</c:v>
                </c:pt>
                <c:pt idx="28">
                  <c:v>103385.02892405812</c:v>
                </c:pt>
                <c:pt idx="29">
                  <c:v>52716.765535696817</c:v>
                </c:pt>
                <c:pt idx="30">
                  <c:v>8695.9451980050962</c:v>
                </c:pt>
                <c:pt idx="31">
                  <c:v>12498.579686743144</c:v>
                </c:pt>
                <c:pt idx="32">
                  <c:v>17476.07553560059</c:v>
                </c:pt>
                <c:pt idx="33">
                  <c:v>17545.606210833448</c:v>
                </c:pt>
                <c:pt idx="34">
                  <c:v>31735.396444834438</c:v>
                </c:pt>
                <c:pt idx="35">
                  <c:v>67540.945054520882</c:v>
                </c:pt>
                <c:pt idx="36">
                  <c:v>8835.0289952306102</c:v>
                </c:pt>
                <c:pt idx="37">
                  <c:v>44.418254803302801</c:v>
                </c:pt>
                <c:pt idx="38">
                  <c:v>33095425.094192587</c:v>
                </c:pt>
                <c:pt idx="39">
                  <c:v>33125194.125614095</c:v>
                </c:pt>
                <c:pt idx="40">
                  <c:v>29826619.927136753</c:v>
                </c:pt>
                <c:pt idx="41">
                  <c:v>21393908.417251006</c:v>
                </c:pt>
                <c:pt idx="42">
                  <c:v>16874069.976492334</c:v>
                </c:pt>
                <c:pt idx="43">
                  <c:v>11496565.94923676</c:v>
                </c:pt>
                <c:pt idx="44">
                  <c:v>7535655.90935231</c:v>
                </c:pt>
                <c:pt idx="45">
                  <c:v>6483936.5054896567</c:v>
                </c:pt>
                <c:pt idx="46">
                  <c:v>5546847.9091515942</c:v>
                </c:pt>
                <c:pt idx="47">
                  <c:v>2776270.4048392274</c:v>
                </c:pt>
                <c:pt idx="48">
                  <c:v>3339851.9210001011</c:v>
                </c:pt>
                <c:pt idx="49">
                  <c:v>3341298.6737503139</c:v>
                </c:pt>
                <c:pt idx="50">
                  <c:v>3052357.6281631067</c:v>
                </c:pt>
                <c:pt idx="51">
                  <c:v>1875506.1772741866</c:v>
                </c:pt>
                <c:pt idx="52">
                  <c:v>1692049.4165555343</c:v>
                </c:pt>
                <c:pt idx="53">
                  <c:v>1215542.0867792857</c:v>
                </c:pt>
                <c:pt idx="54">
                  <c:v>848659.97318698757</c:v>
                </c:pt>
                <c:pt idx="55">
                  <c:v>960711.62220261677</c:v>
                </c:pt>
                <c:pt idx="56">
                  <c:v>1218228.2953684544</c:v>
                </c:pt>
                <c:pt idx="57">
                  <c:v>1219707.6317786316</c:v>
                </c:pt>
                <c:pt idx="58">
                  <c:v>963970.3486267624</c:v>
                </c:pt>
                <c:pt idx="59">
                  <c:v>658599.57174727286</c:v>
                </c:pt>
                <c:pt idx="60">
                  <c:v>319411.53234391334</c:v>
                </c:pt>
                <c:pt idx="61">
                  <c:v>133154.29609217239</c:v>
                </c:pt>
                <c:pt idx="62">
                  <c:v>56277.731004157496</c:v>
                </c:pt>
                <c:pt idx="63">
                  <c:v>25640.790576273641</c:v>
                </c:pt>
                <c:pt idx="64">
                  <c:v>9681.5023636079259</c:v>
                </c:pt>
                <c:pt idx="65">
                  <c:v>1601.1276543068975</c:v>
                </c:pt>
                <c:pt idx="66">
                  <c:v>431.58878784449479</c:v>
                </c:pt>
                <c:pt idx="67">
                  <c:v>6678.2589056360302</c:v>
                </c:pt>
                <c:pt idx="68">
                  <c:v>437.38911093436849</c:v>
                </c:pt>
                <c:pt idx="69">
                  <c:v>2763.1305669731632</c:v>
                </c:pt>
                <c:pt idx="70">
                  <c:v>2773.6623836389713</c:v>
                </c:pt>
                <c:pt idx="71">
                  <c:v>1648.5418396069879</c:v>
                </c:pt>
                <c:pt idx="72">
                  <c:v>4461.0095164627692</c:v>
                </c:pt>
                <c:pt idx="73">
                  <c:v>6799.9186837976722</c:v>
                </c:pt>
                <c:pt idx="74">
                  <c:v>4478.0609819764295</c:v>
                </c:pt>
                <c:pt idx="75">
                  <c:v>914.69879070086859</c:v>
                </c:pt>
                <c:pt idx="76">
                  <c:v>2822.7694685855104</c:v>
                </c:pt>
                <c:pt idx="77">
                  <c:v>921.52690956201536</c:v>
                </c:pt>
                <c:pt idx="78">
                  <c:v>26436.139954732058</c:v>
                </c:pt>
                <c:pt idx="79">
                  <c:v>45588.205506821265</c:v>
                </c:pt>
                <c:pt idx="80">
                  <c:v>35198.488781044143</c:v>
                </c:pt>
                <c:pt idx="81">
                  <c:v>26700.464045846285</c:v>
                </c:pt>
                <c:pt idx="82">
                  <c:v>45832.184301793728</c:v>
                </c:pt>
                <c:pt idx="83">
                  <c:v>45865.530864269022</c:v>
                </c:pt>
                <c:pt idx="84">
                  <c:v>26825.979650820056</c:v>
                </c:pt>
                <c:pt idx="85">
                  <c:v>92128.977693701425</c:v>
                </c:pt>
                <c:pt idx="86">
                  <c:v>447353.58747294929</c:v>
                </c:pt>
                <c:pt idx="87">
                  <c:v>593477.12448942196</c:v>
                </c:pt>
                <c:pt idx="88">
                  <c:v>447667.5665141631</c:v>
                </c:pt>
                <c:pt idx="89">
                  <c:v>281939.31399006041</c:v>
                </c:pt>
                <c:pt idx="90">
                  <c:v>331138.23878827743</c:v>
                </c:pt>
                <c:pt idx="91">
                  <c:v>167773.24139556495</c:v>
                </c:pt>
                <c:pt idx="92">
                  <c:v>92621.14688196496</c:v>
                </c:pt>
                <c:pt idx="93">
                  <c:v>93020.124793254203</c:v>
                </c:pt>
                <c:pt idx="94">
                  <c:v>74883.815240315438</c:v>
                </c:pt>
                <c:pt idx="95">
                  <c:v>59596.897593254806</c:v>
                </c:pt>
                <c:pt idx="96">
                  <c:v>1</c:v>
                </c:pt>
                <c:pt idx="97">
                  <c:v>1</c:v>
                </c:pt>
                <c:pt idx="98">
                  <c:v>600512.65692819585</c:v>
                </c:pt>
                <c:pt idx="99">
                  <c:v>1952432.9840416999</c:v>
                </c:pt>
                <c:pt idx="100">
                  <c:v>1954164.9800055022</c:v>
                </c:pt>
                <c:pt idx="101">
                  <c:v>1420635.3558720271</c:v>
                </c:pt>
                <c:pt idx="102">
                  <c:v>1956476.1240855902</c:v>
                </c:pt>
                <c:pt idx="103">
                  <c:v>14421414.281369066</c:v>
                </c:pt>
                <c:pt idx="104">
                  <c:v>15361919.004508372</c:v>
                </c:pt>
                <c:pt idx="105">
                  <c:v>35227182.422929749</c:v>
                </c:pt>
                <c:pt idx="106">
                  <c:v>64933395.810924657</c:v>
                </c:pt>
                <c:pt idx="107">
                  <c:v>97335462.309516773</c:v>
                </c:pt>
                <c:pt idx="108">
                  <c:v>125068692.39313067</c:v>
                </c:pt>
                <c:pt idx="109">
                  <c:v>141066568.55977842</c:v>
                </c:pt>
                <c:pt idx="110">
                  <c:v>141238752.12591726</c:v>
                </c:pt>
                <c:pt idx="111">
                  <c:v>125540542.36239783</c:v>
                </c:pt>
                <c:pt idx="112">
                  <c:v>141454206.14296207</c:v>
                </c:pt>
                <c:pt idx="113">
                  <c:v>141756261.29887426</c:v>
                </c:pt>
                <c:pt idx="114">
                  <c:v>133936344.15594348</c:v>
                </c:pt>
                <c:pt idx="115">
                  <c:v>126329964.06009655</c:v>
                </c:pt>
                <c:pt idx="116">
                  <c:v>118980823.07296543</c:v>
                </c:pt>
                <c:pt idx="117">
                  <c:v>92684240.513536841</c:v>
                </c:pt>
                <c:pt idx="118">
                  <c:v>81340345.928978592</c:v>
                </c:pt>
                <c:pt idx="119">
                  <c:v>99034166.805236816</c:v>
                </c:pt>
                <c:pt idx="120">
                  <c:v>99132851.620078802</c:v>
                </c:pt>
                <c:pt idx="121">
                  <c:v>93028667.83663173</c:v>
                </c:pt>
                <c:pt idx="122">
                  <c:v>87244316.938561648</c:v>
                </c:pt>
                <c:pt idx="123">
                  <c:v>106055379.67597346</c:v>
                </c:pt>
                <c:pt idx="124">
                  <c:v>106194006.89213981</c:v>
                </c:pt>
                <c:pt idx="125">
                  <c:v>93657390.602033481</c:v>
                </c:pt>
                <c:pt idx="126">
                  <c:v>71853873.845688745</c:v>
                </c:pt>
                <c:pt idx="127">
                  <c:v>67156742.295899063</c:v>
                </c:pt>
                <c:pt idx="128">
                  <c:v>62627052.974036366</c:v>
                </c:pt>
                <c:pt idx="129">
                  <c:v>46672557.097561292</c:v>
                </c:pt>
                <c:pt idx="130">
                  <c:v>46709694.89438349</c:v>
                </c:pt>
                <c:pt idx="131">
                  <c:v>58465476.698000021</c:v>
                </c:pt>
                <c:pt idx="132">
                  <c:v>54413125.784423657</c:v>
                </c:pt>
                <c:pt idx="133">
                  <c:v>40145415.899117775</c:v>
                </c:pt>
                <c:pt idx="134">
                  <c:v>43491276.827626877</c:v>
                </c:pt>
                <c:pt idx="135">
                  <c:v>43561694.346296646</c:v>
                </c:pt>
                <c:pt idx="136">
                  <c:v>40394326.485863447</c:v>
                </c:pt>
                <c:pt idx="137">
                  <c:v>43720450.568478264</c:v>
                </c:pt>
                <c:pt idx="138">
                  <c:v>226553534.73040828</c:v>
                </c:pt>
                <c:pt idx="139">
                  <c:v>264390927.4764365</c:v>
                </c:pt>
                <c:pt idx="140">
                  <c:v>264529664.38243574</c:v>
                </c:pt>
                <c:pt idx="141">
                  <c:v>251728125.295948</c:v>
                </c:pt>
                <c:pt idx="142">
                  <c:v>278540910.03616297</c:v>
                </c:pt>
                <c:pt idx="143">
                  <c:v>795874876.84520376</c:v>
                </c:pt>
                <c:pt idx="144">
                  <c:v>892681778.50640547</c:v>
                </c:pt>
                <c:pt idx="145">
                  <c:v>962328860.90247905</c:v>
                </c:pt>
                <c:pt idx="146">
                  <c:v>963440172.03278399</c:v>
                </c:pt>
                <c:pt idx="147">
                  <c:v>1037597805.3608207</c:v>
                </c:pt>
                <c:pt idx="148">
                  <c:v>1038186059.4054606</c:v>
                </c:pt>
                <c:pt idx="149">
                  <c:v>1001617896.3250184</c:v>
                </c:pt>
                <c:pt idx="150">
                  <c:v>1002190583.1885742</c:v>
                </c:pt>
                <c:pt idx="151">
                  <c:v>1077776514.9097147</c:v>
                </c:pt>
                <c:pt idx="152">
                  <c:v>1376301978.1364498</c:v>
                </c:pt>
                <c:pt idx="153">
                  <c:v>1331192522.2612956</c:v>
                </c:pt>
                <c:pt idx="154">
                  <c:v>1201047073.1196513</c:v>
                </c:pt>
                <c:pt idx="155">
                  <c:v>1120373194.7679427</c:v>
                </c:pt>
                <c:pt idx="156">
                  <c:v>1043491759.0514511</c:v>
                </c:pt>
                <c:pt idx="157">
                  <c:v>935223544.2488178</c:v>
                </c:pt>
                <c:pt idx="158">
                  <c:v>660435174.81087053</c:v>
                </c:pt>
                <c:pt idx="159">
                  <c:v>492880311.07396156</c:v>
                </c:pt>
                <c:pt idx="160">
                  <c:v>110381549.0041215</c:v>
                </c:pt>
                <c:pt idx="161">
                  <c:v>21114052.889883202</c:v>
                </c:pt>
                <c:pt idx="162">
                  <c:v>21124213.548830502</c:v>
                </c:pt>
                <c:pt idx="163">
                  <c:v>25332779.794281196</c:v>
                </c:pt>
                <c:pt idx="164">
                  <c:v>17531153.702800028</c:v>
                </c:pt>
                <c:pt idx="165">
                  <c:v>41809975.791674197</c:v>
                </c:pt>
                <c:pt idx="166">
                  <c:v>48825521.295824841</c:v>
                </c:pt>
                <c:pt idx="167">
                  <c:v>45277867.974576905</c:v>
                </c:pt>
                <c:pt idx="168">
                  <c:v>38756863.574844368</c:v>
                </c:pt>
                <c:pt idx="169">
                  <c:v>38805240.710969821</c:v>
                </c:pt>
                <c:pt idx="170">
                  <c:v>30350317.655768842</c:v>
                </c:pt>
                <c:pt idx="171">
                  <c:v>21338447.135902282</c:v>
                </c:pt>
                <c:pt idx="172">
                  <c:v>17699341.661263403</c:v>
                </c:pt>
                <c:pt idx="173">
                  <c:v>21410223.955657713</c:v>
                </c:pt>
                <c:pt idx="174">
                  <c:v>28012733.720110018</c:v>
                </c:pt>
                <c:pt idx="175">
                  <c:v>39080245.296288371</c:v>
                </c:pt>
                <c:pt idx="176">
                  <c:v>42341828.394745976</c:v>
                </c:pt>
                <c:pt idx="177">
                  <c:v>33319081.937502563</c:v>
                </c:pt>
                <c:pt idx="178">
                  <c:v>28176817.635432165</c:v>
                </c:pt>
                <c:pt idx="179">
                  <c:v>28214786.660657983</c:v>
                </c:pt>
                <c:pt idx="180">
                  <c:v>14830027.234644163</c:v>
                </c:pt>
                <c:pt idx="181">
                  <c:v>14853341.217286153</c:v>
                </c:pt>
                <c:pt idx="182">
                  <c:v>19902043.99696527</c:v>
                </c:pt>
                <c:pt idx="183">
                  <c:v>19931197.661520522</c:v>
                </c:pt>
                <c:pt idx="184">
                  <c:v>14931255.720339296</c:v>
                </c:pt>
                <c:pt idx="185">
                  <c:v>8761699.1340863798</c:v>
                </c:pt>
                <c:pt idx="186">
                  <c:v>17.12157344181977</c:v>
                </c:pt>
              </c:numCache>
            </c:numRef>
          </c:yVal>
          <c:smooth val="0"/>
          <c:extLst>
            <c:ext xmlns:c16="http://schemas.microsoft.com/office/drawing/2014/chart" uri="{C3380CC4-5D6E-409C-BE32-E72D297353CC}">
              <c16:uniqueId val="{00000006-2FBA-4919-8506-6A13951966A0}"/>
            </c:ext>
          </c:extLst>
        </c:ser>
        <c:ser>
          <c:idx val="5"/>
          <c:order val="5"/>
          <c:tx>
            <c:strRef>
              <c:f>Continuous!$AK$1</c:f>
              <c:strCache>
                <c:ptCount val="1"/>
                <c:pt idx="0">
                  <c:v>Usu 1977 Column</c:v>
                </c:pt>
              </c:strCache>
            </c:strRef>
          </c:tx>
          <c:spPr>
            <a:ln w="19050" cap="rnd">
              <a:solidFill>
                <a:schemeClr val="accent6"/>
              </a:solidFill>
              <a:round/>
            </a:ln>
            <a:effectLst/>
          </c:spPr>
          <c:marker>
            <c:symbol val="none"/>
          </c:marker>
          <c:xVal>
            <c:numRef>
              <c:f>Continuous!$AM$4:$AM$56</c:f>
              <c:numCache>
                <c:formatCode>General</c:formatCode>
                <c:ptCount val="53"/>
                <c:pt idx="0">
                  <c:v>0</c:v>
                </c:pt>
                <c:pt idx="1">
                  <c:v>0.12177121771199495</c:v>
                </c:pt>
                <c:pt idx="2">
                  <c:v>0.60885608856072082</c:v>
                </c:pt>
                <c:pt idx="3">
                  <c:v>1.5830258302581512</c:v>
                </c:pt>
                <c:pt idx="4">
                  <c:v>2.3136531365313573</c:v>
                </c:pt>
                <c:pt idx="5">
                  <c:v>3.0442804428043075</c:v>
                </c:pt>
                <c:pt idx="6">
                  <c:v>3.409594095940804</c:v>
                </c:pt>
                <c:pt idx="7">
                  <c:v>4.261992619926005</c:v>
                </c:pt>
                <c:pt idx="8">
                  <c:v>4.9926199261991897</c:v>
                </c:pt>
                <c:pt idx="9">
                  <c:v>5.4797047970479156</c:v>
                </c:pt>
                <c:pt idx="10">
                  <c:v>7.5498154981547927</c:v>
                </c:pt>
                <c:pt idx="11">
                  <c:v>7.7933579335792729</c:v>
                </c:pt>
                <c:pt idx="12">
                  <c:v>8.158671586715748</c:v>
                </c:pt>
                <c:pt idx="13">
                  <c:v>9.2546125461254292</c:v>
                </c:pt>
                <c:pt idx="14">
                  <c:v>9.86346863468615</c:v>
                </c:pt>
                <c:pt idx="15">
                  <c:v>10.350553505534876</c:v>
                </c:pt>
                <c:pt idx="16">
                  <c:v>28.494464944649259</c:v>
                </c:pt>
                <c:pt idx="17">
                  <c:v>28.859778597785755</c:v>
                </c:pt>
                <c:pt idx="18">
                  <c:v>29.468634686346711</c:v>
                </c:pt>
                <c:pt idx="19">
                  <c:v>30.321033210331912</c:v>
                </c:pt>
                <c:pt idx="20">
                  <c:v>31.295202952029364</c:v>
                </c:pt>
                <c:pt idx="21">
                  <c:v>32.147601476014565</c:v>
                </c:pt>
                <c:pt idx="22">
                  <c:v>32.75645756457552</c:v>
                </c:pt>
                <c:pt idx="23">
                  <c:v>33.730627306272972</c:v>
                </c:pt>
                <c:pt idx="24">
                  <c:v>34.704797047970381</c:v>
                </c:pt>
                <c:pt idx="25">
                  <c:v>34.948339483394626</c:v>
                </c:pt>
                <c:pt idx="26">
                  <c:v>38.479704797047937</c:v>
                </c:pt>
                <c:pt idx="27">
                  <c:v>38.601476014760145</c:v>
                </c:pt>
                <c:pt idx="28">
                  <c:v>39.210332103320887</c:v>
                </c:pt>
                <c:pt idx="29">
                  <c:v>41.036900369003497</c:v>
                </c:pt>
                <c:pt idx="30">
                  <c:v>41.523985239852244</c:v>
                </c:pt>
                <c:pt idx="31">
                  <c:v>42.011070110700949</c:v>
                </c:pt>
                <c:pt idx="32">
                  <c:v>43.959409594095852</c:v>
                </c:pt>
                <c:pt idx="33">
                  <c:v>44.202952029520311</c:v>
                </c:pt>
                <c:pt idx="34">
                  <c:v>44.933579335793262</c:v>
                </c:pt>
                <c:pt idx="35">
                  <c:v>45.298892988929758</c:v>
                </c:pt>
                <c:pt idx="36">
                  <c:v>45.907749077490713</c:v>
                </c:pt>
                <c:pt idx="37">
                  <c:v>46.27306273062721</c:v>
                </c:pt>
                <c:pt idx="38">
                  <c:v>47.36900369003687</c:v>
                </c:pt>
                <c:pt idx="39">
                  <c:v>47.612546125461115</c:v>
                </c:pt>
                <c:pt idx="40">
                  <c:v>48.830258302583026</c:v>
                </c:pt>
                <c:pt idx="41">
                  <c:v>49.317343173431517</c:v>
                </c:pt>
                <c:pt idx="42">
                  <c:v>49.804428044280222</c:v>
                </c:pt>
                <c:pt idx="43">
                  <c:v>50.535055350553428</c:v>
                </c:pt>
                <c:pt idx="44">
                  <c:v>50.778597785977674</c:v>
                </c:pt>
                <c:pt idx="45">
                  <c:v>51.022140221402175</c:v>
                </c:pt>
                <c:pt idx="46">
                  <c:v>51.874538745387376</c:v>
                </c:pt>
                <c:pt idx="47">
                  <c:v>52.605166051660326</c:v>
                </c:pt>
                <c:pt idx="48">
                  <c:v>53.335793357933532</c:v>
                </c:pt>
                <c:pt idx="49">
                  <c:v>53.701107011069986</c:v>
                </c:pt>
                <c:pt idx="50">
                  <c:v>54.797047970479689</c:v>
                </c:pt>
                <c:pt idx="51">
                  <c:v>55.162361623616142</c:v>
                </c:pt>
                <c:pt idx="52">
                  <c:v>56.136531365313594</c:v>
                </c:pt>
              </c:numCache>
            </c:numRef>
          </c:xVal>
          <c:yVal>
            <c:numRef>
              <c:f>Continuous!$AO$4:$AO$56</c:f>
              <c:numCache>
                <c:formatCode>0.E+00</c:formatCode>
                <c:ptCount val="53"/>
                <c:pt idx="0">
                  <c:v>1</c:v>
                </c:pt>
                <c:pt idx="1">
                  <c:v>10441.678019919154</c:v>
                </c:pt>
                <c:pt idx="2">
                  <c:v>26661.23732798046</c:v>
                </c:pt>
                <c:pt idx="3">
                  <c:v>3799406.895923744</c:v>
                </c:pt>
                <c:pt idx="4">
                  <c:v>2.3393188175016322</c:v>
                </c:pt>
                <c:pt idx="5">
                  <c:v>1837.5942496263212</c:v>
                </c:pt>
                <c:pt idx="6">
                  <c:v>1</c:v>
                </c:pt>
                <c:pt idx="7">
                  <c:v>1</c:v>
                </c:pt>
                <c:pt idx="8">
                  <c:v>436.9339643533097</c:v>
                </c:pt>
                <c:pt idx="9">
                  <c:v>1</c:v>
                </c:pt>
                <c:pt idx="10">
                  <c:v>1</c:v>
                </c:pt>
                <c:pt idx="11">
                  <c:v>144.37497906743462</c:v>
                </c:pt>
                <c:pt idx="12">
                  <c:v>1</c:v>
                </c:pt>
                <c:pt idx="13">
                  <c:v>1</c:v>
                </c:pt>
                <c:pt idx="14">
                  <c:v>223.34082966075968</c:v>
                </c:pt>
                <c:pt idx="15">
                  <c:v>1</c:v>
                </c:pt>
                <c:pt idx="16">
                  <c:v>1</c:v>
                </c:pt>
                <c:pt idx="17">
                  <c:v>268.30964140473861</c:v>
                </c:pt>
                <c:pt idx="18">
                  <c:v>1</c:v>
                </c:pt>
                <c:pt idx="19">
                  <c:v>1</c:v>
                </c:pt>
                <c:pt idx="20">
                  <c:v>341263.78074416297</c:v>
                </c:pt>
                <c:pt idx="21">
                  <c:v>1809832.2926376578</c:v>
                </c:pt>
                <c:pt idx="22">
                  <c:v>121277.79153555975</c:v>
                </c:pt>
                <c:pt idx="23">
                  <c:v>2.626597054035155E-5</c:v>
                </c:pt>
                <c:pt idx="24">
                  <c:v>123.30243872990179</c:v>
                </c:pt>
                <c:pt idx="25">
                  <c:v>1</c:v>
                </c:pt>
                <c:pt idx="26">
                  <c:v>1</c:v>
                </c:pt>
                <c:pt idx="27">
                  <c:v>158318.67959123928</c:v>
                </c:pt>
                <c:pt idx="28">
                  <c:v>1836357.6869389019</c:v>
                </c:pt>
                <c:pt idx="29">
                  <c:v>22370.568815518178</c:v>
                </c:pt>
                <c:pt idx="30">
                  <c:v>96650.781708906798</c:v>
                </c:pt>
                <c:pt idx="31">
                  <c:v>1</c:v>
                </c:pt>
                <c:pt idx="32">
                  <c:v>4.0482913776602341E-4</c:v>
                </c:pt>
                <c:pt idx="33">
                  <c:v>80.836281560236117</c:v>
                </c:pt>
                <c:pt idx="34">
                  <c:v>486.55731763971698</c:v>
                </c:pt>
                <c:pt idx="35">
                  <c:v>3584.6501555640284</c:v>
                </c:pt>
                <c:pt idx="36">
                  <c:v>3569.6599191159521</c:v>
                </c:pt>
                <c:pt idx="37">
                  <c:v>147979.47153900244</c:v>
                </c:pt>
                <c:pt idx="38">
                  <c:v>1</c:v>
                </c:pt>
                <c:pt idx="39">
                  <c:v>672.68772513463387</c:v>
                </c:pt>
                <c:pt idx="40">
                  <c:v>256.57652511908759</c:v>
                </c:pt>
                <c:pt idx="41">
                  <c:v>1</c:v>
                </c:pt>
                <c:pt idx="42">
                  <c:v>37377.131980387632</c:v>
                </c:pt>
                <c:pt idx="43">
                  <c:v>1</c:v>
                </c:pt>
                <c:pt idx="44">
                  <c:v>2124.2444871184989</c:v>
                </c:pt>
                <c:pt idx="45">
                  <c:v>6510.8682623887344</c:v>
                </c:pt>
                <c:pt idx="46">
                  <c:v>1346752.2929520919</c:v>
                </c:pt>
                <c:pt idx="47">
                  <c:v>75443.980623460899</c:v>
                </c:pt>
                <c:pt idx="48">
                  <c:v>678911.69858082652</c:v>
                </c:pt>
                <c:pt idx="49">
                  <c:v>1</c:v>
                </c:pt>
                <c:pt idx="50">
                  <c:v>1</c:v>
                </c:pt>
                <c:pt idx="51">
                  <c:v>188.79189676306248</c:v>
                </c:pt>
                <c:pt idx="52">
                  <c:v>1</c:v>
                </c:pt>
              </c:numCache>
            </c:numRef>
          </c:yVal>
          <c:smooth val="0"/>
          <c:extLst>
            <c:ext xmlns:c16="http://schemas.microsoft.com/office/drawing/2014/chart" uri="{C3380CC4-5D6E-409C-BE32-E72D297353CC}">
              <c16:uniqueId val="{00000007-2FBA-4919-8506-6A13951966A0}"/>
            </c:ext>
          </c:extLst>
        </c:ser>
        <c:ser>
          <c:idx val="6"/>
          <c:order val="6"/>
          <c:tx>
            <c:strRef>
              <c:f>Continuous!$AT$1</c:f>
              <c:strCache>
                <c:ptCount val="1"/>
                <c:pt idx="0">
                  <c:v>Komagatake 1929 Column</c:v>
                </c:pt>
              </c:strCache>
            </c:strRef>
          </c:tx>
          <c:spPr>
            <a:ln w="19050" cap="rnd">
              <a:solidFill>
                <a:schemeClr val="accent1">
                  <a:lumMod val="60000"/>
                </a:schemeClr>
              </a:solidFill>
              <a:round/>
            </a:ln>
            <a:effectLst/>
          </c:spPr>
          <c:marker>
            <c:symbol val="none"/>
          </c:marker>
          <c:xVal>
            <c:numRef>
              <c:f>Continuous!$AV$4:$AV$31</c:f>
              <c:numCache>
                <c:formatCode>General</c:formatCode>
                <c:ptCount val="28"/>
                <c:pt idx="0">
                  <c:v>1.0212765957432168</c:v>
                </c:pt>
                <c:pt idx="1">
                  <c:v>7.0212765957432168</c:v>
                </c:pt>
                <c:pt idx="2">
                  <c:v>7.7234042553167797</c:v>
                </c:pt>
                <c:pt idx="3">
                  <c:v>8.4893617021272405</c:v>
                </c:pt>
                <c:pt idx="4">
                  <c:v>9.1914893617008033</c:v>
                </c:pt>
                <c:pt idx="5">
                  <c:v>9.6382978723392227</c:v>
                </c:pt>
                <c:pt idx="6">
                  <c:v>10.276595744680833</c:v>
                </c:pt>
                <c:pt idx="7">
                  <c:v>10.531914893615976</c:v>
                </c:pt>
                <c:pt idx="8">
                  <c:v>10.85106382978563</c:v>
                </c:pt>
                <c:pt idx="9">
                  <c:v>11.425531914892815</c:v>
                </c:pt>
                <c:pt idx="10">
                  <c:v>12.957446808508791</c:v>
                </c:pt>
                <c:pt idx="11">
                  <c:v>13.978723404254396</c:v>
                </c:pt>
                <c:pt idx="12">
                  <c:v>14.425531914892815</c:v>
                </c:pt>
                <c:pt idx="13">
                  <c:v>14.744680851062384</c:v>
                </c:pt>
                <c:pt idx="14">
                  <c:v>14.872340425531235</c:v>
                </c:pt>
                <c:pt idx="15">
                  <c:v>15.063829787232038</c:v>
                </c:pt>
                <c:pt idx="16">
                  <c:v>15.510638297870372</c:v>
                </c:pt>
                <c:pt idx="17">
                  <c:v>16.212765957446408</c:v>
                </c:pt>
                <c:pt idx="18">
                  <c:v>17.553191489361581</c:v>
                </c:pt>
                <c:pt idx="19">
                  <c:v>18.638297872339223</c:v>
                </c:pt>
                <c:pt idx="20">
                  <c:v>19.340425531912786</c:v>
                </c:pt>
                <c:pt idx="21">
                  <c:v>20.36170212765839</c:v>
                </c:pt>
                <c:pt idx="22">
                  <c:v>21.510638297870372</c:v>
                </c:pt>
                <c:pt idx="23">
                  <c:v>23.170212765955199</c:v>
                </c:pt>
                <c:pt idx="24">
                  <c:v>24.255319148935229</c:v>
                </c:pt>
                <c:pt idx="25">
                  <c:v>25.404255319147211</c:v>
                </c:pt>
                <c:pt idx="26">
                  <c:v>26.489361702127241</c:v>
                </c:pt>
                <c:pt idx="27">
                  <c:v>26.999999999997613</c:v>
                </c:pt>
              </c:numCache>
            </c:numRef>
          </c:xVal>
          <c:yVal>
            <c:numRef>
              <c:f>Continuous!$AX$4:$AX$31</c:f>
              <c:numCache>
                <c:formatCode>0.E+00</c:formatCode>
                <c:ptCount val="28"/>
                <c:pt idx="0">
                  <c:v>1</c:v>
                </c:pt>
                <c:pt idx="1">
                  <c:v>1.1707967667380397</c:v>
                </c:pt>
                <c:pt idx="2">
                  <c:v>11.981199040684503</c:v>
                </c:pt>
                <c:pt idx="3">
                  <c:v>353.16765939403911</c:v>
                </c:pt>
                <c:pt idx="4">
                  <c:v>5361.447597998108</c:v>
                </c:pt>
                <c:pt idx="5">
                  <c:v>56995.642304276844</c:v>
                </c:pt>
                <c:pt idx="6">
                  <c:v>2205680.4531900445</c:v>
                </c:pt>
                <c:pt idx="7">
                  <c:v>4751651.620623582</c:v>
                </c:pt>
                <c:pt idx="8">
                  <c:v>6899567.2741496237</c:v>
                </c:pt>
                <c:pt idx="9">
                  <c:v>7420077.1225653384</c:v>
                </c:pt>
                <c:pt idx="10">
                  <c:v>7464299.4033094505</c:v>
                </c:pt>
                <c:pt idx="11">
                  <c:v>6046904.9421572881</c:v>
                </c:pt>
                <c:pt idx="12">
                  <c:v>3502149.2887548334</c:v>
                </c:pt>
                <c:pt idx="13">
                  <c:v>1691313.6181784656</c:v>
                </c:pt>
                <c:pt idx="14">
                  <c:v>542125.46422319207</c:v>
                </c:pt>
                <c:pt idx="15">
                  <c:v>192929.42696950628</c:v>
                </c:pt>
                <c:pt idx="16">
                  <c:v>93279.190843576245</c:v>
                </c:pt>
                <c:pt idx="17">
                  <c:v>76638.411593949364</c:v>
                </c:pt>
                <c:pt idx="18">
                  <c:v>77840.425032696003</c:v>
                </c:pt>
                <c:pt idx="19">
                  <c:v>63680.776199267391</c:v>
                </c:pt>
                <c:pt idx="20">
                  <c:v>64226.265412931061</c:v>
                </c:pt>
                <c:pt idx="21">
                  <c:v>41046.603357750602</c:v>
                </c:pt>
                <c:pt idx="22">
                  <c:v>24902.981421485234</c:v>
                </c:pt>
                <c:pt idx="23">
                  <c:v>7215.6517189365122</c:v>
                </c:pt>
                <c:pt idx="24">
                  <c:v>2052.6574458817054</c:v>
                </c:pt>
                <c:pt idx="25">
                  <c:v>337.23563437282269</c:v>
                </c:pt>
                <c:pt idx="26">
                  <c:v>12.880304906877971</c:v>
                </c:pt>
                <c:pt idx="27">
                  <c:v>1.6527323880369069E-2</c:v>
                </c:pt>
              </c:numCache>
            </c:numRef>
          </c:yVal>
          <c:smooth val="0"/>
          <c:extLst>
            <c:ext xmlns:c16="http://schemas.microsoft.com/office/drawing/2014/chart" uri="{C3380CC4-5D6E-409C-BE32-E72D297353CC}">
              <c16:uniqueId val="{00000008-2FBA-4919-8506-6A13951966A0}"/>
            </c:ext>
          </c:extLst>
        </c:ser>
        <c:ser>
          <c:idx val="7"/>
          <c:order val="7"/>
          <c:tx>
            <c:strRef>
              <c:f>Continuous!$BV$1</c:f>
              <c:strCache>
                <c:ptCount val="1"/>
                <c:pt idx="0">
                  <c:v>Grimsvotn 2011 Column</c:v>
                </c:pt>
              </c:strCache>
            </c:strRef>
          </c:tx>
          <c:spPr>
            <a:ln w="19050" cap="rnd">
              <a:solidFill>
                <a:schemeClr val="accent2">
                  <a:lumMod val="60000"/>
                </a:schemeClr>
              </a:solidFill>
              <a:round/>
            </a:ln>
            <a:effectLst/>
          </c:spPr>
          <c:marker>
            <c:symbol val="none"/>
          </c:marker>
          <c:xVal>
            <c:numRef>
              <c:f>Continuous!$BX$4:$BX$210</c:f>
              <c:numCache>
                <c:formatCode>General</c:formatCode>
                <c:ptCount val="207"/>
                <c:pt idx="0">
                  <c:v>0</c:v>
                </c:pt>
                <c:pt idx="1">
                  <c:v>0.37244440982877336</c:v>
                </c:pt>
                <c:pt idx="2">
                  <c:v>0.74395420382398925</c:v>
                </c:pt>
                <c:pt idx="3">
                  <c:v>0.90751197476637913</c:v>
                </c:pt>
                <c:pt idx="4">
                  <c:v>1.1364928540824337</c:v>
                </c:pt>
                <c:pt idx="5">
                  <c:v>1.3509871879751927</c:v>
                </c:pt>
                <c:pt idx="6">
                  <c:v>1.4879084076479785</c:v>
                </c:pt>
                <c:pt idx="7">
                  <c:v>1.4794968651432328</c:v>
                </c:pt>
                <c:pt idx="8">
                  <c:v>1.624362319406373</c:v>
                </c:pt>
                <c:pt idx="9">
                  <c:v>1.8458662720512393</c:v>
                </c:pt>
                <c:pt idx="10">
                  <c:v>2.0010125004864108</c:v>
                </c:pt>
                <c:pt idx="11">
                  <c:v>2.1435414151655721</c:v>
                </c:pt>
                <c:pt idx="12">
                  <c:v>2.2902761010936104</c:v>
                </c:pt>
                <c:pt idx="13">
                  <c:v>2.4332723236896356</c:v>
                </c:pt>
                <c:pt idx="14">
                  <c:v>2.662253203005605</c:v>
                </c:pt>
                <c:pt idx="15">
                  <c:v>2.8730090735615761</c:v>
                </c:pt>
                <c:pt idx="16">
                  <c:v>2.9529187273656134</c:v>
                </c:pt>
                <c:pt idx="17">
                  <c:v>3.1029245687135756</c:v>
                </c:pt>
                <c:pt idx="18">
                  <c:v>3.1085322637176489</c:v>
                </c:pt>
                <c:pt idx="19">
                  <c:v>3.2627438763191776</c:v>
                </c:pt>
                <c:pt idx="20">
                  <c:v>3.5604190194335956</c:v>
                </c:pt>
                <c:pt idx="21">
                  <c:v>3.7889325908327862</c:v>
                </c:pt>
                <c:pt idx="22">
                  <c:v>4.2347443436279661</c:v>
                </c:pt>
                <c:pt idx="23">
                  <c:v>4.3786751820552468</c:v>
                </c:pt>
                <c:pt idx="24">
                  <c:v>4.4450329062672438</c:v>
                </c:pt>
                <c:pt idx="25">
                  <c:v>4.5880291288607964</c:v>
                </c:pt>
                <c:pt idx="26">
                  <c:v>4.7394368939615674</c:v>
                </c:pt>
                <c:pt idx="27">
                  <c:v>4.8179446240127959</c:v>
                </c:pt>
                <c:pt idx="28">
                  <c:v>4.8987888936480033</c:v>
                </c:pt>
                <c:pt idx="29">
                  <c:v>4.9866427820400077</c:v>
                </c:pt>
                <c:pt idx="30">
                  <c:v>5.1417890104751791</c:v>
                </c:pt>
                <c:pt idx="31">
                  <c:v>5.4319872269184089</c:v>
                </c:pt>
                <c:pt idx="32">
                  <c:v>5.4240429923279692</c:v>
                </c:pt>
                <c:pt idx="33">
                  <c:v>5.7207835196088297</c:v>
                </c:pt>
                <c:pt idx="34">
                  <c:v>5.7894777834024183</c:v>
                </c:pt>
                <c:pt idx="35">
                  <c:v>6.0806106156792055</c:v>
                </c:pt>
                <c:pt idx="36">
                  <c:v>6.1483702636392366</c:v>
                </c:pt>
                <c:pt idx="37">
                  <c:v>6.2880953308151675</c:v>
                </c:pt>
                <c:pt idx="38">
                  <c:v>6.3591261341952077</c:v>
                </c:pt>
                <c:pt idx="39">
                  <c:v>6.7287666965232233</c:v>
                </c:pt>
                <c:pt idx="40">
                  <c:v>7.1722419097320369</c:v>
                </c:pt>
                <c:pt idx="41">
                  <c:v>7.2544881031199679</c:v>
                </c:pt>
                <c:pt idx="42">
                  <c:v>7.4091670236384459</c:v>
                </c:pt>
                <c:pt idx="43">
                  <c:v>7.4180458740599704</c:v>
                </c:pt>
                <c:pt idx="44">
                  <c:v>7.5722574866615844</c:v>
                </c:pt>
                <c:pt idx="45">
                  <c:v>7.5867440320895696</c:v>
                </c:pt>
                <c:pt idx="46">
                  <c:v>7.7344133338536381</c:v>
                </c:pt>
                <c:pt idx="47">
                  <c:v>7.8844191752016002</c:v>
                </c:pt>
                <c:pt idx="48">
                  <c:v>7.9643288290056375</c:v>
                </c:pt>
                <c:pt idx="49">
                  <c:v>8.1073250515991901</c:v>
                </c:pt>
                <c:pt idx="50">
                  <c:v>8.3288290042439712</c:v>
                </c:pt>
                <c:pt idx="51">
                  <c:v>8.3970559601231685</c:v>
                </c:pt>
                <c:pt idx="52">
                  <c:v>8.7671638303680481</c:v>
                </c:pt>
                <c:pt idx="53">
                  <c:v>9.6587873359560206</c:v>
                </c:pt>
                <c:pt idx="54">
                  <c:v>9.883095136104032</c:v>
                </c:pt>
                <c:pt idx="55">
                  <c:v>10.104599088748813</c:v>
                </c:pt>
                <c:pt idx="56">
                  <c:v>10.699014759141619</c:v>
                </c:pt>
                <c:pt idx="57">
                  <c:v>10.767241715020816</c:v>
                </c:pt>
                <c:pt idx="58">
                  <c:v>10.908368705947169</c:v>
                </c:pt>
                <c:pt idx="59">
                  <c:v>11.051364928540806</c:v>
                </c:pt>
                <c:pt idx="60">
                  <c:v>11.119124576503225</c:v>
                </c:pt>
                <c:pt idx="61">
                  <c:v>11.187351532380035</c:v>
                </c:pt>
                <c:pt idx="62">
                  <c:v>11.851863390319238</c:v>
                </c:pt>
                <c:pt idx="63">
                  <c:v>12.221971260564032</c:v>
                </c:pt>
                <c:pt idx="64">
                  <c:v>12.371509793995216</c:v>
                </c:pt>
                <c:pt idx="65">
                  <c:v>13.337902566300016</c:v>
                </c:pt>
                <c:pt idx="66">
                  <c:v>13.561743058531249</c:v>
                </c:pt>
                <c:pt idx="67">
                  <c:v>13.932318236692822</c:v>
                </c:pt>
                <c:pt idx="68">
                  <c:v>14.162233731842434</c:v>
                </c:pt>
                <c:pt idx="69">
                  <c:v>14.170645274349567</c:v>
                </c:pt>
                <c:pt idx="70">
                  <c:v>14.324389579034403</c:v>
                </c:pt>
                <c:pt idx="71">
                  <c:v>14.333735737372791</c:v>
                </c:pt>
                <c:pt idx="72">
                  <c:v>14.488414657891184</c:v>
                </c:pt>
                <c:pt idx="73">
                  <c:v>14.712722458039195</c:v>
                </c:pt>
                <c:pt idx="74">
                  <c:v>15.009930293236835</c:v>
                </c:pt>
                <c:pt idx="75">
                  <c:v>15.380038163479242</c:v>
                </c:pt>
                <c:pt idx="76">
                  <c:v>15.447330503524796</c:v>
                </c:pt>
                <c:pt idx="77">
                  <c:v>15.515090151487215</c:v>
                </c:pt>
                <c:pt idx="78">
                  <c:v>15.658086374080767</c:v>
                </c:pt>
                <c:pt idx="79">
                  <c:v>15.72537871412402</c:v>
                </c:pt>
                <c:pt idx="80">
                  <c:v>15.792671054169574</c:v>
                </c:pt>
                <c:pt idx="81">
                  <c:v>16.309980918261573</c:v>
                </c:pt>
                <c:pt idx="82">
                  <c:v>16.533821410490418</c:v>
                </c:pt>
                <c:pt idx="83">
                  <c:v>16.755792671054451</c:v>
                </c:pt>
                <c:pt idx="84">
                  <c:v>18.910549476225611</c:v>
                </c:pt>
                <c:pt idx="85">
                  <c:v>19.140464971377611</c:v>
                </c:pt>
                <c:pt idx="86">
                  <c:v>19.147941898048799</c:v>
                </c:pt>
                <c:pt idx="87">
                  <c:v>19.303555434403222</c:v>
                </c:pt>
                <c:pt idx="88">
                  <c:v>19.311499668991189</c:v>
                </c:pt>
                <c:pt idx="89">
                  <c:v>19.465243973676024</c:v>
                </c:pt>
                <c:pt idx="90">
                  <c:v>19.533938237469613</c:v>
                </c:pt>
                <c:pt idx="91">
                  <c:v>19.749834495112793</c:v>
                </c:pt>
                <c:pt idx="92">
                  <c:v>19.972273063593605</c:v>
                </c:pt>
                <c:pt idx="93">
                  <c:v>19.965263444839195</c:v>
                </c:pt>
                <c:pt idx="94">
                  <c:v>20.10732505159919</c:v>
                </c:pt>
                <c:pt idx="95">
                  <c:v>20.248919350442407</c:v>
                </c:pt>
                <c:pt idx="96">
                  <c:v>20.545659877720794</c:v>
                </c:pt>
                <c:pt idx="97">
                  <c:v>20.914833132132031</c:v>
                </c:pt>
                <c:pt idx="98">
                  <c:v>21.134000545192833</c:v>
                </c:pt>
                <c:pt idx="99">
                  <c:v>21.13119669769199</c:v>
                </c:pt>
                <c:pt idx="100">
                  <c:v>21.276062151952829</c:v>
                </c:pt>
                <c:pt idx="101">
                  <c:v>21.270921764865619</c:v>
                </c:pt>
                <c:pt idx="102">
                  <c:v>21.781689318119987</c:v>
                </c:pt>
                <c:pt idx="103">
                  <c:v>22.155535651699182</c:v>
                </c:pt>
                <c:pt idx="104">
                  <c:v>22.6831262899656</c:v>
                </c:pt>
                <c:pt idx="105">
                  <c:v>22.91163986136479</c:v>
                </c:pt>
                <c:pt idx="106">
                  <c:v>23.063982242299204</c:v>
                </c:pt>
                <c:pt idx="107">
                  <c:v>23.143424588186377</c:v>
                </c:pt>
                <c:pt idx="108">
                  <c:v>23.440632423381629</c:v>
                </c:pt>
                <c:pt idx="109">
                  <c:v>23.664472915612777</c:v>
                </c:pt>
                <c:pt idx="110">
                  <c:v>23.886444176174422</c:v>
                </c:pt>
                <c:pt idx="111">
                  <c:v>24.035982709607993</c:v>
                </c:pt>
                <c:pt idx="112">
                  <c:v>24.407492503603208</c:v>
                </c:pt>
                <c:pt idx="113">
                  <c:v>24.555161805367192</c:v>
                </c:pt>
                <c:pt idx="114">
                  <c:v>25.075275516960033</c:v>
                </c:pt>
                <c:pt idx="115">
                  <c:v>25.224814050391217</c:v>
                </c:pt>
                <c:pt idx="116">
                  <c:v>25.3724833521552</c:v>
                </c:pt>
                <c:pt idx="117">
                  <c:v>25.743993146150416</c:v>
                </c:pt>
                <c:pt idx="118">
                  <c:v>25.967833638381649</c:v>
                </c:pt>
                <c:pt idx="119">
                  <c:v>26.189804898945596</c:v>
                </c:pt>
                <c:pt idx="120">
                  <c:v>26.561314692940812</c:v>
                </c:pt>
                <c:pt idx="121">
                  <c:v>26.785155185172044</c:v>
                </c:pt>
                <c:pt idx="122">
                  <c:v>27.081428404533568</c:v>
                </c:pt>
                <c:pt idx="123">
                  <c:v>27.37863623972882</c:v>
                </c:pt>
                <c:pt idx="124">
                  <c:v>27.528174773162391</c:v>
                </c:pt>
                <c:pt idx="125">
                  <c:v>27.751080649557593</c:v>
                </c:pt>
                <c:pt idx="126">
                  <c:v>27.973051910121626</c:v>
                </c:pt>
                <c:pt idx="127">
                  <c:v>28.790373456909634</c:v>
                </c:pt>
                <c:pt idx="128">
                  <c:v>28.939911990343205</c:v>
                </c:pt>
                <c:pt idx="129">
                  <c:v>29.534327660736011</c:v>
                </c:pt>
                <c:pt idx="130">
                  <c:v>29.83060088009762</c:v>
                </c:pt>
                <c:pt idx="131">
                  <c:v>30.499318509288003</c:v>
                </c:pt>
                <c:pt idx="132">
                  <c:v>30.648857042719186</c:v>
                </c:pt>
                <c:pt idx="133">
                  <c:v>31.243272713111992</c:v>
                </c:pt>
                <c:pt idx="134">
                  <c:v>31.315705440242368</c:v>
                </c:pt>
                <c:pt idx="135">
                  <c:v>31.536742084972843</c:v>
                </c:pt>
                <c:pt idx="136">
                  <c:v>31.606838272519241</c:v>
                </c:pt>
                <c:pt idx="137">
                  <c:v>31.677401767982417</c:v>
                </c:pt>
                <c:pt idx="138">
                  <c:v>32.046107714474402</c:v>
                </c:pt>
                <c:pt idx="139">
                  <c:v>32.118540441607166</c:v>
                </c:pt>
                <c:pt idx="140">
                  <c:v>32.490050235602382</c:v>
                </c:pt>
                <c:pt idx="141">
                  <c:v>32.561548346899201</c:v>
                </c:pt>
                <c:pt idx="142">
                  <c:v>33.225125589002374</c:v>
                </c:pt>
                <c:pt idx="143">
                  <c:v>33.379337201603988</c:v>
                </c:pt>
                <c:pt idx="144">
                  <c:v>33.896179757779208</c:v>
                </c:pt>
                <c:pt idx="145">
                  <c:v>34.345729973908789</c:v>
                </c:pt>
                <c:pt idx="146">
                  <c:v>34.499006970676845</c:v>
                </c:pt>
                <c:pt idx="147">
                  <c:v>34.577514700727988</c:v>
                </c:pt>
                <c:pt idx="148">
                  <c:v>34.798551345458378</c:v>
                </c:pt>
                <c:pt idx="149">
                  <c:v>35.243428482417613</c:v>
                </c:pt>
                <c:pt idx="150">
                  <c:v>35.466801666731982</c:v>
                </c:pt>
                <c:pt idx="151">
                  <c:v>35.686903695626427</c:v>
                </c:pt>
                <c:pt idx="152">
                  <c:v>35.984578838740845</c:v>
                </c:pt>
                <c:pt idx="153">
                  <c:v>35.987382686241602</c:v>
                </c:pt>
                <c:pt idx="154">
                  <c:v>36.207952023055213</c:v>
                </c:pt>
                <c:pt idx="155">
                  <c:v>36.869192725574408</c:v>
                </c:pt>
                <c:pt idx="156">
                  <c:v>37.470618014721623</c:v>
                </c:pt>
                <c:pt idx="157">
                  <c:v>37.472954554305602</c:v>
                </c:pt>
                <c:pt idx="158">
                  <c:v>37.699598894037592</c:v>
                </c:pt>
                <c:pt idx="159">
                  <c:v>37.844464348300818</c:v>
                </c:pt>
                <c:pt idx="160">
                  <c:v>38.207562599791203</c:v>
                </c:pt>
                <c:pt idx="161">
                  <c:v>38.579072393784031</c:v>
                </c:pt>
                <c:pt idx="162">
                  <c:v>38.725807079714372</c:v>
                </c:pt>
                <c:pt idx="163">
                  <c:v>39.099653413296039</c:v>
                </c:pt>
                <c:pt idx="164">
                  <c:v>39.176291911679982</c:v>
                </c:pt>
                <c:pt idx="165">
                  <c:v>39.327232368861587</c:v>
                </c:pt>
                <c:pt idx="166">
                  <c:v>39.622103664472775</c:v>
                </c:pt>
                <c:pt idx="167">
                  <c:v>39.767436426652779</c:v>
                </c:pt>
                <c:pt idx="168">
                  <c:v>40.437088671676804</c:v>
                </c:pt>
                <c:pt idx="169">
                  <c:v>40.588029128860796</c:v>
                </c:pt>
                <c:pt idx="170">
                  <c:v>40.734763814791222</c:v>
                </c:pt>
                <c:pt idx="171">
                  <c:v>41.111413995873647</c:v>
                </c:pt>
                <c:pt idx="172">
                  <c:v>41.262354453055167</c:v>
                </c:pt>
                <c:pt idx="173">
                  <c:v>41.483391097785642</c:v>
                </c:pt>
                <c:pt idx="174">
                  <c:v>41.697885431676013</c:v>
                </c:pt>
                <c:pt idx="175">
                  <c:v>42.074535612758439</c:v>
                </c:pt>
                <c:pt idx="176">
                  <c:v>42.153043342809582</c:v>
                </c:pt>
                <c:pt idx="177">
                  <c:v>42.232018380777589</c:v>
                </c:pt>
                <c:pt idx="178">
                  <c:v>42.310526110831205</c:v>
                </c:pt>
                <c:pt idx="179">
                  <c:v>42.456326180925601</c:v>
                </c:pt>
                <c:pt idx="180">
                  <c:v>42.598387787687983</c:v>
                </c:pt>
                <c:pt idx="181">
                  <c:v>42.817087892832006</c:v>
                </c:pt>
                <c:pt idx="182">
                  <c:v>42.813349429495219</c:v>
                </c:pt>
                <c:pt idx="183">
                  <c:v>43.628334436699248</c:v>
                </c:pt>
                <c:pt idx="184">
                  <c:v>44.071342341991198</c:v>
                </c:pt>
                <c:pt idx="185">
                  <c:v>45.112504381012826</c:v>
                </c:pt>
                <c:pt idx="186">
                  <c:v>45.633085400522447</c:v>
                </c:pt>
                <c:pt idx="187">
                  <c:v>47.046691849370376</c:v>
                </c:pt>
                <c:pt idx="188">
                  <c:v>47.715409478563231</c:v>
                </c:pt>
                <c:pt idx="189">
                  <c:v>48.38833287900718</c:v>
                </c:pt>
                <c:pt idx="190">
                  <c:v>48.685540714202432</c:v>
                </c:pt>
                <c:pt idx="191">
                  <c:v>48.907511974766379</c:v>
                </c:pt>
                <c:pt idx="192">
                  <c:v>49.430896841776843</c:v>
                </c:pt>
                <c:pt idx="193">
                  <c:v>49.727170061140839</c:v>
                </c:pt>
                <c:pt idx="194">
                  <c:v>49.951477861288851</c:v>
                </c:pt>
                <c:pt idx="195">
                  <c:v>50.322520347364815</c:v>
                </c:pt>
                <c:pt idx="196">
                  <c:v>50.546360839596048</c:v>
                </c:pt>
                <c:pt idx="197">
                  <c:v>50.768332100159995</c:v>
                </c:pt>
              </c:numCache>
            </c:numRef>
          </c:xVal>
          <c:yVal>
            <c:numRef>
              <c:f>Continuous!$BZ$4:$BZ$210</c:f>
              <c:numCache>
                <c:formatCode>0.E+00</c:formatCode>
                <c:ptCount val="207"/>
                <c:pt idx="0">
                  <c:v>10967230.299762728</c:v>
                </c:pt>
                <c:pt idx="1">
                  <c:v>11360641.853453653</c:v>
                </c:pt>
                <c:pt idx="2">
                  <c:v>11357532.22164344</c:v>
                </c:pt>
                <c:pt idx="3">
                  <c:v>19306488.906285007</c:v>
                </c:pt>
                <c:pt idx="4">
                  <c:v>23522580.853189643</c:v>
                </c:pt>
                <c:pt idx="5">
                  <c:v>17842010.45018496</c:v>
                </c:pt>
                <c:pt idx="6">
                  <c:v>11758301.519118443</c:v>
                </c:pt>
                <c:pt idx="7">
                  <c:v>8467727.9664580263</c:v>
                </c:pt>
                <c:pt idx="8">
                  <c:v>7253567.9101495231</c:v>
                </c:pt>
                <c:pt idx="9">
                  <c:v>6833254.623822106</c:v>
                </c:pt>
                <c:pt idx="10">
                  <c:v>8956688.9952378627</c:v>
                </c:pt>
                <c:pt idx="11">
                  <c:v>6969098.7481359579</c:v>
                </c:pt>
                <c:pt idx="12">
                  <c:v>6430503.2011046689</c:v>
                </c:pt>
                <c:pt idx="13">
                  <c:v>5004122.4932878017</c:v>
                </c:pt>
                <c:pt idx="14">
                  <c:v>6559822.6740140477</c:v>
                </c:pt>
                <c:pt idx="15">
                  <c:v>3743798.9540323839</c:v>
                </c:pt>
                <c:pt idx="16">
                  <c:v>4894965.9713457515</c:v>
                </c:pt>
                <c:pt idx="17">
                  <c:v>5220050.4268019395</c:v>
                </c:pt>
                <c:pt idx="18">
                  <c:v>6690693.2163164588</c:v>
                </c:pt>
                <c:pt idx="19">
                  <c:v>8455794.6998605393</c:v>
                </c:pt>
                <c:pt idx="20">
                  <c:v>8615455.7694497816</c:v>
                </c:pt>
                <c:pt idx="21">
                  <c:v>10742524.576086169</c:v>
                </c:pt>
                <c:pt idx="22">
                  <c:v>10738948.431262279</c:v>
                </c:pt>
                <c:pt idx="23">
                  <c:v>8940087.2434826996</c:v>
                </c:pt>
                <c:pt idx="24">
                  <c:v>6418807.0830112603</c:v>
                </c:pt>
                <c:pt idx="25">
                  <c:v>4994456.5071406364</c:v>
                </c:pt>
                <c:pt idx="26">
                  <c:v>5671619.4499845365</c:v>
                </c:pt>
                <c:pt idx="27">
                  <c:v>6816363.9645324247</c:v>
                </c:pt>
                <c:pt idx="28">
                  <c:v>8936458.7299588677</c:v>
                </c:pt>
                <c:pt idx="29">
                  <c:v>14890569.694519887</c:v>
                </c:pt>
                <c:pt idx="30">
                  <c:v>18660579.166979734</c:v>
                </c:pt>
                <c:pt idx="31">
                  <c:v>14640822.899169244</c:v>
                </c:pt>
                <c:pt idx="32">
                  <c:v>10923092.642188128</c:v>
                </c:pt>
                <c:pt idx="33">
                  <c:v>10727034.482596261</c:v>
                </c:pt>
                <c:pt idx="34">
                  <c:v>8600343.8017420005</c:v>
                </c:pt>
                <c:pt idx="35">
                  <c:v>6674071.1274428777</c:v>
                </c:pt>
                <c:pt idx="36">
                  <c:v>4987465.8629741129</c:v>
                </c:pt>
                <c:pt idx="37">
                  <c:v>3240894.1123591075</c:v>
                </c:pt>
                <c:pt idx="38">
                  <c:v>2732048.3783345181</c:v>
                </c:pt>
                <c:pt idx="39">
                  <c:v>2469127.7466542092</c:v>
                </c:pt>
                <c:pt idx="40">
                  <c:v>2168087.2363447933</c:v>
                </c:pt>
                <c:pt idx="41">
                  <c:v>3315871.1578931855</c:v>
                </c:pt>
                <c:pt idx="42">
                  <c:v>4466524.8908911757</c:v>
                </c:pt>
                <c:pt idx="43">
                  <c:v>6666601.4351469642</c:v>
                </c:pt>
                <c:pt idx="44">
                  <c:v>8427008.7378978878</c:v>
                </c:pt>
                <c:pt idx="45">
                  <c:v>14618962.445360493</c:v>
                </c:pt>
                <c:pt idx="46">
                  <c:v>14136930.987776401</c:v>
                </c:pt>
                <c:pt idx="47">
                  <c:v>14860796.534536107</c:v>
                </c:pt>
                <c:pt idx="48">
                  <c:v>18048020.280646887</c:v>
                </c:pt>
                <c:pt idx="49">
                  <c:v>14858508.166934602</c:v>
                </c:pt>
                <c:pt idx="50">
                  <c:v>14131056.509988662</c:v>
                </c:pt>
                <c:pt idx="51">
                  <c:v>11293617.601491179</c:v>
                </c:pt>
                <c:pt idx="52">
                  <c:v>10702642.293996414</c:v>
                </c:pt>
                <c:pt idx="53">
                  <c:v>10695511.097769797</c:v>
                </c:pt>
                <c:pt idx="54">
                  <c:v>11281238.756360823</c:v>
                </c:pt>
                <c:pt idx="55">
                  <c:v>10691946.854138123</c:v>
                </c:pt>
                <c:pt idx="56">
                  <c:v>10687195.933592584</c:v>
                </c:pt>
                <c:pt idx="57">
                  <c:v>8405715.5435291808</c:v>
                </c:pt>
                <c:pt idx="58">
                  <c:v>6128507.8354576314</c:v>
                </c:pt>
                <c:pt idx="59">
                  <c:v>4754816.3905585529</c:v>
                </c:pt>
                <c:pt idx="60">
                  <c:v>3463212.913589946</c:v>
                </c:pt>
                <c:pt idx="61">
                  <c:v>2520816.1634997013</c:v>
                </c:pt>
                <c:pt idx="62">
                  <c:v>1991531.8326373231</c:v>
                </c:pt>
                <c:pt idx="63">
                  <c:v>1835132.1969394737</c:v>
                </c:pt>
                <c:pt idx="64">
                  <c:v>1937450.9640875391</c:v>
                </c:pt>
                <c:pt idx="65">
                  <c:v>1988221.9255089383</c:v>
                </c:pt>
                <c:pt idx="66">
                  <c:v>2096749.8422260536</c:v>
                </c:pt>
                <c:pt idx="67">
                  <c:v>1986899.1339475343</c:v>
                </c:pt>
                <c:pt idx="68">
                  <c:v>2918643.605228866</c:v>
                </c:pt>
                <c:pt idx="69">
                  <c:v>4438749.0285222558</c:v>
                </c:pt>
                <c:pt idx="70">
                  <c:v>5624444.8932860456</c:v>
                </c:pt>
                <c:pt idx="71">
                  <c:v>8381994.7221072223</c:v>
                </c:pt>
                <c:pt idx="72">
                  <c:v>10656946.519425835</c:v>
                </c:pt>
                <c:pt idx="73">
                  <c:v>11241078.71486512</c:v>
                </c:pt>
                <c:pt idx="74">
                  <c:v>11238610.881723706</c:v>
                </c:pt>
                <c:pt idx="75">
                  <c:v>10649838.476800952</c:v>
                </c:pt>
                <c:pt idx="76">
                  <c:v>8060484.5249233572</c:v>
                </c:pt>
                <c:pt idx="77">
                  <c:v>6104419.3454374913</c:v>
                </c:pt>
                <c:pt idx="78">
                  <c:v>4734955.4040630748</c:v>
                </c:pt>
                <c:pt idx="79">
                  <c:v>3367159.1334172692</c:v>
                </c:pt>
                <c:pt idx="80">
                  <c:v>2322791.0515489839</c:v>
                </c:pt>
                <c:pt idx="81">
                  <c:v>1981614.6549989092</c:v>
                </c:pt>
                <c:pt idx="82">
                  <c:v>2089870.115523621</c:v>
                </c:pt>
                <c:pt idx="83">
                  <c:v>1980625.0055806374</c:v>
                </c:pt>
                <c:pt idx="84">
                  <c:v>1975846.9942375456</c:v>
                </c:pt>
                <c:pt idx="85">
                  <c:v>2903837.1373374476</c:v>
                </c:pt>
                <c:pt idx="86">
                  <c:v>4225637.544907663</c:v>
                </c:pt>
                <c:pt idx="87">
                  <c:v>5838539.7388150226</c:v>
                </c:pt>
                <c:pt idx="88">
                  <c:v>8191143.6742340699</c:v>
                </c:pt>
                <c:pt idx="89">
                  <c:v>10056431.026769094</c:v>
                </c:pt>
                <c:pt idx="90">
                  <c:v>8034161.5188657204</c:v>
                </c:pt>
                <c:pt idx="91">
                  <c:v>5958348.2602892304</c:v>
                </c:pt>
                <c:pt idx="92">
                  <c:v>5835165.1855432335</c:v>
                </c:pt>
                <c:pt idx="93">
                  <c:v>4222411.8541090917</c:v>
                </c:pt>
                <c:pt idx="94">
                  <c:v>3046027.0971353166</c:v>
                </c:pt>
                <c:pt idx="95">
                  <c:v>2081294.5979793649</c:v>
                </c:pt>
                <c:pt idx="96">
                  <c:v>2025868.1384873935</c:v>
                </c:pt>
                <c:pt idx="97">
                  <c:v>1767624.0246063869</c:v>
                </c:pt>
                <c:pt idx="98">
                  <c:v>1408011.5108547451</c:v>
                </c:pt>
                <c:pt idx="99">
                  <c:v>1177341.673877229</c:v>
                </c:pt>
                <c:pt idx="100">
                  <c:v>915653.39974344941</c:v>
                </c:pt>
                <c:pt idx="101">
                  <c:v>631120.50557702908</c:v>
                </c:pt>
                <c:pt idx="102">
                  <c:v>290294.29294496949</c:v>
                </c:pt>
                <c:pt idx="103">
                  <c:v>357159.89608301967</c:v>
                </c:pt>
                <c:pt idx="104">
                  <c:v>652408.28600739234</c:v>
                </c:pt>
                <c:pt idx="105">
                  <c:v>974278.78165949287</c:v>
                </c:pt>
                <c:pt idx="106">
                  <c:v>1247745.7907137433</c:v>
                </c:pt>
                <c:pt idx="107">
                  <c:v>1714842.5263700993</c:v>
                </c:pt>
                <c:pt idx="108">
                  <c:v>1714251.3848242485</c:v>
                </c:pt>
                <c:pt idx="109">
                  <c:v>1811285.3912863221</c:v>
                </c:pt>
                <c:pt idx="110">
                  <c:v>1713364.9629054205</c:v>
                </c:pt>
                <c:pt idx="111">
                  <c:v>1810515.112734563</c:v>
                </c:pt>
                <c:pt idx="112">
                  <c:v>1809745.0831640493</c:v>
                </c:pt>
                <c:pt idx="113">
                  <c:v>1712035.9832415963</c:v>
                </c:pt>
                <c:pt idx="114">
                  <c:v>1711002.8741398517</c:v>
                </c:pt>
                <c:pt idx="115">
                  <c:v>1808051.8942515627</c:v>
                </c:pt>
                <c:pt idx="116">
                  <c:v>1710412.738847631</c:v>
                </c:pt>
                <c:pt idx="117">
                  <c:v>1709675.2872818236</c:v>
                </c:pt>
                <c:pt idx="118">
                  <c:v>1806513.6766004798</c:v>
                </c:pt>
                <c:pt idx="119">
                  <c:v>1708790.6644038595</c:v>
                </c:pt>
                <c:pt idx="120">
                  <c:v>1708053.7444428043</c:v>
                </c:pt>
                <c:pt idx="121">
                  <c:v>1804822.7861380519</c:v>
                </c:pt>
                <c:pt idx="122">
                  <c:v>1707022.4622922675</c:v>
                </c:pt>
                <c:pt idx="123">
                  <c:v>1706433.3707146388</c:v>
                </c:pt>
                <c:pt idx="124">
                  <c:v>1803286.6570161255</c:v>
                </c:pt>
                <c:pt idx="125">
                  <c:v>1802826.0121013734</c:v>
                </c:pt>
                <c:pt idx="126">
                  <c:v>1705255.6510823215</c:v>
                </c:pt>
                <c:pt idx="127">
                  <c:v>1703637.2953688006</c:v>
                </c:pt>
                <c:pt idx="128">
                  <c:v>1800370.7493923916</c:v>
                </c:pt>
                <c:pt idx="129">
                  <c:v>1799144.0714491573</c:v>
                </c:pt>
                <c:pt idx="130">
                  <c:v>1701579.2584273799</c:v>
                </c:pt>
                <c:pt idx="131">
                  <c:v>1700257.2328056439</c:v>
                </c:pt>
                <c:pt idx="132">
                  <c:v>1796845.7624800438</c:v>
                </c:pt>
                <c:pt idx="133">
                  <c:v>1795620.9104381879</c:v>
                </c:pt>
                <c:pt idx="134">
                  <c:v>1605837.8409364647</c:v>
                </c:pt>
                <c:pt idx="135">
                  <c:v>1431442.9081571181</c:v>
                </c:pt>
                <c:pt idx="136">
                  <c:v>1092370.441603096</c:v>
                </c:pt>
                <c:pt idx="137">
                  <c:v>845668.83622846415</c:v>
                </c:pt>
                <c:pt idx="138">
                  <c:v>690081.67030719493</c:v>
                </c:pt>
                <c:pt idx="139">
                  <c:v>599318.89675228857</c:v>
                </c:pt>
                <c:pt idx="140">
                  <c:v>598986.56143842207</c:v>
                </c:pt>
                <c:pt idx="141">
                  <c:v>480280.2483005292</c:v>
                </c:pt>
                <c:pt idx="142">
                  <c:v>309618.73067662021</c:v>
                </c:pt>
                <c:pt idx="143">
                  <c:v>498054.37374196097</c:v>
                </c:pt>
                <c:pt idx="144">
                  <c:v>379566.61063533928</c:v>
                </c:pt>
                <c:pt idx="145">
                  <c:v>516205.31768220704</c:v>
                </c:pt>
                <c:pt idx="146">
                  <c:v>736590.90358429088</c:v>
                </c:pt>
                <c:pt idx="147">
                  <c:v>990344.08640819846</c:v>
                </c:pt>
                <c:pt idx="148">
                  <c:v>870204.08013251435</c:v>
                </c:pt>
                <c:pt idx="149">
                  <c:v>814084.83297798166</c:v>
                </c:pt>
                <c:pt idx="150">
                  <c:v>841272.80539716338</c:v>
                </c:pt>
                <c:pt idx="151">
                  <c:v>686462.81542509177</c:v>
                </c:pt>
                <c:pt idx="152">
                  <c:v>710283.09850147879</c:v>
                </c:pt>
                <c:pt idx="153">
                  <c:v>868792.70598669804</c:v>
                </c:pt>
                <c:pt idx="154">
                  <c:v>734804.01657554682</c:v>
                </c:pt>
                <c:pt idx="155">
                  <c:v>408860.2085990521</c:v>
                </c:pt>
                <c:pt idx="156">
                  <c:v>708771.47245740949</c:v>
                </c:pt>
                <c:pt idx="157">
                  <c:v>838952.53783017863</c:v>
                </c:pt>
                <c:pt idx="158">
                  <c:v>1083793.0926997506</c:v>
                </c:pt>
                <c:pt idx="159">
                  <c:v>838523.39293540863</c:v>
                </c:pt>
                <c:pt idx="160">
                  <c:v>440998.27182558359</c:v>
                </c:pt>
                <c:pt idx="161">
                  <c:v>440735.05025572528</c:v>
                </c:pt>
                <c:pt idx="162">
                  <c:v>376522.06680042652</c:v>
                </c:pt>
                <c:pt idx="163">
                  <c:v>457606.94222020864</c:v>
                </c:pt>
                <c:pt idx="164">
                  <c:v>551573.33931392408</c:v>
                </c:pt>
                <c:pt idx="165">
                  <c:v>659457.21999494301</c:v>
                </c:pt>
                <c:pt idx="166">
                  <c:v>551198.93948270369</c:v>
                </c:pt>
                <c:pt idx="167">
                  <c:v>423165.23637818947</c:v>
                </c:pt>
                <c:pt idx="168">
                  <c:v>456632.9101093529</c:v>
                </c:pt>
                <c:pt idx="169">
                  <c:v>550388.40245718916</c:v>
                </c:pt>
                <c:pt idx="170">
                  <c:v>474130.1429940135</c:v>
                </c:pt>
                <c:pt idx="171">
                  <c:v>705078.32138639537</c:v>
                </c:pt>
                <c:pt idx="172">
                  <c:v>834583.08301578776</c:v>
                </c:pt>
                <c:pt idx="173">
                  <c:v>729308.7496569216</c:v>
                </c:pt>
                <c:pt idx="174">
                  <c:v>374657.74905719806</c:v>
                </c:pt>
                <c:pt idx="175">
                  <c:v>569517.18888989592</c:v>
                </c:pt>
                <c:pt idx="176">
                  <c:v>779744.90283741022</c:v>
                </c:pt>
                <c:pt idx="177">
                  <c:v>1077445.6578345667</c:v>
                </c:pt>
                <c:pt idx="178">
                  <c:v>1412852.8884638182</c:v>
                </c:pt>
                <c:pt idx="179">
                  <c:v>1181345.0536290817</c:v>
                </c:pt>
                <c:pt idx="180">
                  <c:v>753375.49497554905</c:v>
                </c:pt>
                <c:pt idx="181">
                  <c:v>548521.38966107811</c:v>
                </c:pt>
                <c:pt idx="182">
                  <c:v>404897.79991040868</c:v>
                </c:pt>
                <c:pt idx="183">
                  <c:v>330497.22687199473</c:v>
                </c:pt>
                <c:pt idx="184">
                  <c:v>255726.12503328206</c:v>
                </c:pt>
                <c:pt idx="185">
                  <c:v>278449.71449247305</c:v>
                </c:pt>
                <c:pt idx="186">
                  <c:v>290370.94234991749</c:v>
                </c:pt>
                <c:pt idx="187">
                  <c:v>342370.52486523392</c:v>
                </c:pt>
                <c:pt idx="188">
                  <c:v>341979.72963590192</c:v>
                </c:pt>
                <c:pt idx="189">
                  <c:v>486490.79479880934</c:v>
                </c:pt>
                <c:pt idx="190">
                  <c:v>486263.89313258487</c:v>
                </c:pt>
                <c:pt idx="191">
                  <c:v>450500.5774661997</c:v>
                </c:pt>
                <c:pt idx="192">
                  <c:v>583980.26289982058</c:v>
                </c:pt>
                <c:pt idx="193">
                  <c:v>542764.22531142691</c:v>
                </c:pt>
                <c:pt idx="194">
                  <c:v>604856.1620106335</c:v>
                </c:pt>
                <c:pt idx="195">
                  <c:v>583198.45372577047</c:v>
                </c:pt>
                <c:pt idx="196">
                  <c:v>626225.6740756213</c:v>
                </c:pt>
                <c:pt idx="197">
                  <c:v>582807.84756582335</c:v>
                </c:pt>
              </c:numCache>
            </c:numRef>
          </c:yVal>
          <c:smooth val="0"/>
          <c:extLst>
            <c:ext xmlns:c16="http://schemas.microsoft.com/office/drawing/2014/chart" uri="{C3380CC4-5D6E-409C-BE32-E72D297353CC}">
              <c16:uniqueId val="{0000000D-2FBA-4919-8506-6A13951966A0}"/>
            </c:ext>
          </c:extLst>
        </c:ser>
        <c:ser>
          <c:idx val="8"/>
          <c:order val="8"/>
          <c:tx>
            <c:strRef>
              <c:f>Continuous!$BQ$1</c:f>
              <c:strCache>
                <c:ptCount val="1"/>
                <c:pt idx="0">
                  <c:v>Grimsvotn 2011 Density</c:v>
                </c:pt>
              </c:strCache>
            </c:strRef>
          </c:tx>
          <c:spPr>
            <a:ln w="19050" cap="rnd">
              <a:solidFill>
                <a:srgbClr val="C00000"/>
              </a:solidFill>
              <a:round/>
            </a:ln>
            <a:effectLst/>
          </c:spPr>
          <c:marker>
            <c:symbol val="none"/>
          </c:marker>
          <c:xVal>
            <c:numRef>
              <c:f>Continuous!$BS$4:$BS$61</c:f>
              <c:numCache>
                <c:formatCode>General</c:formatCode>
                <c:ptCount val="58"/>
                <c:pt idx="0">
                  <c:v>0</c:v>
                </c:pt>
                <c:pt idx="1">
                  <c:v>6.2608695650396839E-2</c:v>
                </c:pt>
                <c:pt idx="2">
                  <c:v>0.27130434782404222</c:v>
                </c:pt>
                <c:pt idx="3">
                  <c:v>0.68869565217363515</c:v>
                </c:pt>
                <c:pt idx="4">
                  <c:v>1.1060869565208407</c:v>
                </c:pt>
                <c:pt idx="5">
                  <c:v>1.4191304347824598</c:v>
                </c:pt>
                <c:pt idx="6">
                  <c:v>1.8365217391296653</c:v>
                </c:pt>
                <c:pt idx="7">
                  <c:v>2.9843478260856102</c:v>
                </c:pt>
                <c:pt idx="8">
                  <c:v>3.5060869565207895</c:v>
                </c:pt>
                <c:pt idx="9">
                  <c:v>4.9669565217384388</c:v>
                </c:pt>
                <c:pt idx="10">
                  <c:v>5.3843478260856443</c:v>
                </c:pt>
                <c:pt idx="11">
                  <c:v>5.9060869565208236</c:v>
                </c:pt>
                <c:pt idx="12">
                  <c:v>6.1147826086943837</c:v>
                </c:pt>
                <c:pt idx="13">
                  <c:v>6.7408695652152346</c:v>
                </c:pt>
                <c:pt idx="14">
                  <c:v>7.2626086956504139</c:v>
                </c:pt>
                <c:pt idx="15">
                  <c:v>7.6800000000000068</c:v>
                </c:pt>
                <c:pt idx="16">
                  <c:v>8.2017391304327987</c:v>
                </c:pt>
                <c:pt idx="17">
                  <c:v>8.827826086956037</c:v>
                </c:pt>
                <c:pt idx="18">
                  <c:v>9.3495652173912163</c:v>
                </c:pt>
                <c:pt idx="19">
                  <c:v>10.393043478259187</c:v>
                </c:pt>
                <c:pt idx="20">
                  <c:v>10.706086956520807</c:v>
                </c:pt>
                <c:pt idx="21">
                  <c:v>11.227826086955986</c:v>
                </c:pt>
                <c:pt idx="22">
                  <c:v>11.645217391303191</c:v>
                </c:pt>
                <c:pt idx="23">
                  <c:v>12.688695652173635</c:v>
                </c:pt>
                <c:pt idx="24">
                  <c:v>13.41913043478246</c:v>
                </c:pt>
                <c:pt idx="25">
                  <c:v>14.045217391303225</c:v>
                </c:pt>
                <c:pt idx="26">
                  <c:v>14.98434782608561</c:v>
                </c:pt>
                <c:pt idx="27">
                  <c:v>15.923478260867995</c:v>
                </c:pt>
                <c:pt idx="28">
                  <c:v>16.862608695650465</c:v>
                </c:pt>
                <c:pt idx="29">
                  <c:v>17.280000000000058</c:v>
                </c:pt>
                <c:pt idx="30">
                  <c:v>18.740869565215235</c:v>
                </c:pt>
                <c:pt idx="31">
                  <c:v>19.053913043476854</c:v>
                </c:pt>
                <c:pt idx="32">
                  <c:v>21.349565217391216</c:v>
                </c:pt>
                <c:pt idx="33">
                  <c:v>22.810434782606393</c:v>
                </c:pt>
                <c:pt idx="34">
                  <c:v>23.540869565215218</c:v>
                </c:pt>
                <c:pt idx="35">
                  <c:v>25.001739130432782</c:v>
                </c:pt>
                <c:pt idx="36">
                  <c:v>26.880000000000024</c:v>
                </c:pt>
                <c:pt idx="37">
                  <c:v>28.549565217391233</c:v>
                </c:pt>
                <c:pt idx="38">
                  <c:v>29.593043478259204</c:v>
                </c:pt>
                <c:pt idx="39">
                  <c:v>30.427826086956003</c:v>
                </c:pt>
                <c:pt idx="40">
                  <c:v>31.262608695650414</c:v>
                </c:pt>
                <c:pt idx="41">
                  <c:v>32.201739130432799</c:v>
                </c:pt>
                <c:pt idx="42">
                  <c:v>36.47999999999999</c:v>
                </c:pt>
                <c:pt idx="43">
                  <c:v>37.106086956520841</c:v>
                </c:pt>
                <c:pt idx="44">
                  <c:v>37.41913043478246</c:v>
                </c:pt>
                <c:pt idx="45">
                  <c:v>37.836521739129665</c:v>
                </c:pt>
                <c:pt idx="46">
                  <c:v>38.566956521738405</c:v>
                </c:pt>
                <c:pt idx="47">
                  <c:v>39.297391304347229</c:v>
                </c:pt>
                <c:pt idx="48">
                  <c:v>41.280000000000058</c:v>
                </c:pt>
                <c:pt idx="49">
                  <c:v>41.80173913043285</c:v>
                </c:pt>
                <c:pt idx="50">
                  <c:v>42.219130434782443</c:v>
                </c:pt>
                <c:pt idx="51">
                  <c:v>42.845217391303208</c:v>
                </c:pt>
                <c:pt idx="52">
                  <c:v>45.766956521738422</c:v>
                </c:pt>
                <c:pt idx="53">
                  <c:v>47.332173913041657</c:v>
                </c:pt>
                <c:pt idx="54">
                  <c:v>47.74956521739125</c:v>
                </c:pt>
                <c:pt idx="55">
                  <c:v>48.166956521738456</c:v>
                </c:pt>
                <c:pt idx="56">
                  <c:v>49.106086956520841</c:v>
                </c:pt>
                <c:pt idx="57">
                  <c:v>50.149565217391199</c:v>
                </c:pt>
              </c:numCache>
            </c:numRef>
          </c:xVal>
          <c:yVal>
            <c:numRef>
              <c:f>Continuous!$BU$4:$BU$61</c:f>
              <c:numCache>
                <c:formatCode>0.E+00</c:formatCode>
                <c:ptCount val="58"/>
                <c:pt idx="0">
                  <c:v>6678947.3684210368</c:v>
                </c:pt>
                <c:pt idx="1">
                  <c:v>10942105.263157899</c:v>
                </c:pt>
                <c:pt idx="2">
                  <c:v>14246052.631578935</c:v>
                </c:pt>
                <c:pt idx="3">
                  <c:v>11368421.052631568</c:v>
                </c:pt>
                <c:pt idx="4">
                  <c:v>18509210.526315771</c:v>
                </c:pt>
                <c:pt idx="5">
                  <c:v>8597368.4210526068</c:v>
                </c:pt>
                <c:pt idx="6">
                  <c:v>8703947.3684210368</c:v>
                </c:pt>
                <c:pt idx="7">
                  <c:v>6998684.2105263034</c:v>
                </c:pt>
                <c:pt idx="8">
                  <c:v>9236842.1052631382</c:v>
                </c:pt>
                <c:pt idx="9">
                  <c:v>14778947.368421039</c:v>
                </c:pt>
                <c:pt idx="10">
                  <c:v>10196052.631578935</c:v>
                </c:pt>
                <c:pt idx="11">
                  <c:v>6572368.4210526058</c:v>
                </c:pt>
                <c:pt idx="12">
                  <c:v>8917105.2631578986</c:v>
                </c:pt>
                <c:pt idx="13">
                  <c:v>11688157.894736834</c:v>
                </c:pt>
                <c:pt idx="14">
                  <c:v>9450000</c:v>
                </c:pt>
                <c:pt idx="15">
                  <c:v>13073684.210526302</c:v>
                </c:pt>
                <c:pt idx="16">
                  <c:v>10089473.684210505</c:v>
                </c:pt>
                <c:pt idx="17">
                  <c:v>10835526.315789467</c:v>
                </c:pt>
                <c:pt idx="18">
                  <c:v>12114473.684210505</c:v>
                </c:pt>
                <c:pt idx="19">
                  <c:v>7318421.0526315691</c:v>
                </c:pt>
                <c:pt idx="20">
                  <c:v>8384210.5263157701</c:v>
                </c:pt>
                <c:pt idx="21">
                  <c:v>7105263.1578947334</c:v>
                </c:pt>
                <c:pt idx="22">
                  <c:v>8597368.4210526068</c:v>
                </c:pt>
                <c:pt idx="23">
                  <c:v>3161842.1052631382</c:v>
                </c:pt>
                <c:pt idx="24">
                  <c:v>3907894.7368421014</c:v>
                </c:pt>
                <c:pt idx="25">
                  <c:v>3161842.1052631382</c:v>
                </c:pt>
                <c:pt idx="26">
                  <c:v>8171052.6315789362</c:v>
                </c:pt>
                <c:pt idx="27">
                  <c:v>4440789.4736842019</c:v>
                </c:pt>
                <c:pt idx="28">
                  <c:v>4760526.3157894406</c:v>
                </c:pt>
                <c:pt idx="29">
                  <c:v>3161842.1052631382</c:v>
                </c:pt>
                <c:pt idx="30">
                  <c:v>3694736.8421052392</c:v>
                </c:pt>
                <c:pt idx="31">
                  <c:v>5719736.8421052396</c:v>
                </c:pt>
                <c:pt idx="32">
                  <c:v>71052.631578944638</c:v>
                </c:pt>
                <c:pt idx="33">
                  <c:v>177631.57894736671</c:v>
                </c:pt>
                <c:pt idx="34">
                  <c:v>1030263.1578947313</c:v>
                </c:pt>
                <c:pt idx="35">
                  <c:v>1136842.1052631433</c:v>
                </c:pt>
                <c:pt idx="36">
                  <c:v>1243421.0526315772</c:v>
                </c:pt>
                <c:pt idx="37">
                  <c:v>1350000</c:v>
                </c:pt>
                <c:pt idx="38">
                  <c:v>1350000</c:v>
                </c:pt>
                <c:pt idx="39">
                  <c:v>1456578.9473684202</c:v>
                </c:pt>
                <c:pt idx="40">
                  <c:v>2202631.5789473667</c:v>
                </c:pt>
                <c:pt idx="41">
                  <c:v>390789.47368419933</c:v>
                </c:pt>
                <c:pt idx="42">
                  <c:v>284210.52631578717</c:v>
                </c:pt>
                <c:pt idx="43">
                  <c:v>284210.52631578717</c:v>
                </c:pt>
                <c:pt idx="44">
                  <c:v>1669736.8421052552</c:v>
                </c:pt>
                <c:pt idx="45">
                  <c:v>284210.52631578717</c:v>
                </c:pt>
                <c:pt idx="46">
                  <c:v>497368.42105262226</c:v>
                </c:pt>
                <c:pt idx="47">
                  <c:v>923684.21052631107</c:v>
                </c:pt>
                <c:pt idx="48">
                  <c:v>1030263.1578947313</c:v>
                </c:pt>
                <c:pt idx="49">
                  <c:v>284210.52631578717</c:v>
                </c:pt>
                <c:pt idx="50">
                  <c:v>2735526.3157894681</c:v>
                </c:pt>
                <c:pt idx="51">
                  <c:v>177631.57894736671</c:v>
                </c:pt>
                <c:pt idx="52">
                  <c:v>390789.47368419933</c:v>
                </c:pt>
                <c:pt idx="53">
                  <c:v>710526.31578947604</c:v>
                </c:pt>
                <c:pt idx="54">
                  <c:v>603947.36842105316</c:v>
                </c:pt>
                <c:pt idx="55">
                  <c:v>1989473.6842105212</c:v>
                </c:pt>
                <c:pt idx="56">
                  <c:v>1776315.7894736782</c:v>
                </c:pt>
                <c:pt idx="57">
                  <c:v>2309210.5263157873</c:v>
                </c:pt>
              </c:numCache>
            </c:numRef>
          </c:yVal>
          <c:smooth val="0"/>
          <c:extLst>
            <c:ext xmlns:c16="http://schemas.microsoft.com/office/drawing/2014/chart" uri="{C3380CC4-5D6E-409C-BE32-E72D297353CC}">
              <c16:uniqueId val="{00000010-2FBA-4919-8506-6A13951966A0}"/>
            </c:ext>
          </c:extLst>
        </c:ser>
        <c:ser>
          <c:idx val="9"/>
          <c:order val="9"/>
          <c:tx>
            <c:strRef>
              <c:f>Continuous!$CA$1</c:f>
              <c:strCache>
                <c:ptCount val="1"/>
                <c:pt idx="0">
                  <c:v>Kelud 2014 Mass1</c:v>
                </c:pt>
              </c:strCache>
            </c:strRef>
          </c:tx>
          <c:spPr>
            <a:ln w="19050" cap="rnd">
              <a:solidFill>
                <a:schemeClr val="accent4">
                  <a:lumMod val="60000"/>
                </a:schemeClr>
              </a:solidFill>
              <a:round/>
            </a:ln>
            <a:effectLst/>
          </c:spPr>
          <c:marker>
            <c:symbol val="none"/>
          </c:marker>
          <c:xVal>
            <c:numRef>
              <c:f>Continuous!$CC$4:$CC$17</c:f>
              <c:numCache>
                <c:formatCode>General</c:formatCode>
                <c:ptCount val="14"/>
                <c:pt idx="0">
                  <c:v>0</c:v>
                </c:pt>
                <c:pt idx="1">
                  <c:v>0.16603773584910186</c:v>
                </c:pt>
                <c:pt idx="2">
                  <c:v>0.81509433962269995</c:v>
                </c:pt>
                <c:pt idx="3">
                  <c:v>0.99622641509440157</c:v>
                </c:pt>
                <c:pt idx="4">
                  <c:v>1.1622641509434004</c:v>
                </c:pt>
                <c:pt idx="5">
                  <c:v>1.3283018867925023</c:v>
                </c:pt>
                <c:pt idx="6">
                  <c:v>1.4943396226416006</c:v>
                </c:pt>
                <c:pt idx="7">
                  <c:v>1.660377358490603</c:v>
                </c:pt>
                <c:pt idx="8">
                  <c:v>1.9924528301887001</c:v>
                </c:pt>
                <c:pt idx="9">
                  <c:v>2.158490566037802</c:v>
                </c:pt>
                <c:pt idx="10">
                  <c:v>2.3245283018868008</c:v>
                </c:pt>
                <c:pt idx="11">
                  <c:v>2.4905660377359027</c:v>
                </c:pt>
                <c:pt idx="12">
                  <c:v>2.656603773585001</c:v>
                </c:pt>
                <c:pt idx="13">
                  <c:v>2.8226415094339998</c:v>
                </c:pt>
              </c:numCache>
            </c:numRef>
          </c:xVal>
          <c:yVal>
            <c:numRef>
              <c:f>Continuous!$CE$4:$CE$17</c:f>
              <c:numCache>
                <c:formatCode>0.E+00</c:formatCode>
                <c:ptCount val="14"/>
                <c:pt idx="0">
                  <c:v>1</c:v>
                </c:pt>
                <c:pt idx="1">
                  <c:v>35148514.851485103</c:v>
                </c:pt>
                <c:pt idx="2">
                  <c:v>136138613.861386</c:v>
                </c:pt>
                <c:pt idx="3">
                  <c:v>137623762.376237</c:v>
                </c:pt>
                <c:pt idx="4">
                  <c:v>133910891.08910801</c:v>
                </c:pt>
                <c:pt idx="5">
                  <c:v>145049504.950495</c:v>
                </c:pt>
                <c:pt idx="6">
                  <c:v>143564356.43564302</c:v>
                </c:pt>
                <c:pt idx="7">
                  <c:v>155445544.55445501</c:v>
                </c:pt>
                <c:pt idx="8">
                  <c:v>133910891.08910801</c:v>
                </c:pt>
                <c:pt idx="9">
                  <c:v>136881188.11881101</c:v>
                </c:pt>
                <c:pt idx="10">
                  <c:v>130198019.80198</c:v>
                </c:pt>
                <c:pt idx="11">
                  <c:v>131683168.31683101</c:v>
                </c:pt>
                <c:pt idx="12">
                  <c:v>116089108.910891</c:v>
                </c:pt>
                <c:pt idx="13">
                  <c:v>103465346.53465301</c:v>
                </c:pt>
              </c:numCache>
            </c:numRef>
          </c:yVal>
          <c:smooth val="0"/>
          <c:extLst>
            <c:ext xmlns:c16="http://schemas.microsoft.com/office/drawing/2014/chart" uri="{C3380CC4-5D6E-409C-BE32-E72D297353CC}">
              <c16:uniqueId val="{00000012-2FBA-4919-8506-6A13951966A0}"/>
            </c:ext>
          </c:extLst>
        </c:ser>
        <c:ser>
          <c:idx val="10"/>
          <c:order val="10"/>
          <c:tx>
            <c:strRef>
              <c:f>Continuous!$CF$1</c:f>
              <c:strCache>
                <c:ptCount val="1"/>
                <c:pt idx="0">
                  <c:v>Kelud 2014 Mass2</c:v>
                </c:pt>
              </c:strCache>
            </c:strRef>
          </c:tx>
          <c:spPr>
            <a:ln w="19050" cap="rnd">
              <a:solidFill>
                <a:schemeClr val="accent4">
                  <a:lumMod val="75000"/>
                </a:schemeClr>
              </a:solidFill>
              <a:round/>
            </a:ln>
            <a:effectLst/>
          </c:spPr>
          <c:marker>
            <c:symbol val="none"/>
          </c:marker>
          <c:xVal>
            <c:numRef>
              <c:f>Continuous!$CC$4:$CC$17</c:f>
              <c:numCache>
                <c:formatCode>General</c:formatCode>
                <c:ptCount val="14"/>
                <c:pt idx="0">
                  <c:v>0</c:v>
                </c:pt>
                <c:pt idx="1">
                  <c:v>0.16603773584910186</c:v>
                </c:pt>
                <c:pt idx="2">
                  <c:v>0.81509433962269995</c:v>
                </c:pt>
                <c:pt idx="3">
                  <c:v>0.99622641509440157</c:v>
                </c:pt>
                <c:pt idx="4">
                  <c:v>1.1622641509434004</c:v>
                </c:pt>
                <c:pt idx="5">
                  <c:v>1.3283018867925023</c:v>
                </c:pt>
                <c:pt idx="6">
                  <c:v>1.4943396226416006</c:v>
                </c:pt>
                <c:pt idx="7">
                  <c:v>1.660377358490603</c:v>
                </c:pt>
                <c:pt idx="8">
                  <c:v>1.9924528301887001</c:v>
                </c:pt>
                <c:pt idx="9">
                  <c:v>2.158490566037802</c:v>
                </c:pt>
                <c:pt idx="10">
                  <c:v>2.3245283018868008</c:v>
                </c:pt>
                <c:pt idx="11">
                  <c:v>2.4905660377359027</c:v>
                </c:pt>
                <c:pt idx="12">
                  <c:v>2.656603773585001</c:v>
                </c:pt>
                <c:pt idx="13">
                  <c:v>2.8226415094339998</c:v>
                </c:pt>
              </c:numCache>
            </c:numRef>
          </c:xVal>
          <c:yVal>
            <c:numRef>
              <c:f>Continuous!$CH$4:$CH$17</c:f>
              <c:numCache>
                <c:formatCode>0.E+00</c:formatCode>
                <c:ptCount val="14"/>
                <c:pt idx="0">
                  <c:v>1</c:v>
                </c:pt>
                <c:pt idx="1">
                  <c:v>19554455.4455445</c:v>
                </c:pt>
                <c:pt idx="2">
                  <c:v>103465346.53465301</c:v>
                </c:pt>
                <c:pt idx="3">
                  <c:v>107920792.07920699</c:v>
                </c:pt>
                <c:pt idx="4">
                  <c:v>102722772.277227</c:v>
                </c:pt>
                <c:pt idx="5">
                  <c:v>98267326.732673198</c:v>
                </c:pt>
                <c:pt idx="6">
                  <c:v>96782178.217821807</c:v>
                </c:pt>
                <c:pt idx="7">
                  <c:v>107178217.82178201</c:v>
                </c:pt>
                <c:pt idx="8">
                  <c:v>93811881.188118801</c:v>
                </c:pt>
                <c:pt idx="9">
                  <c:v>90841584.158415794</c:v>
                </c:pt>
                <c:pt idx="10">
                  <c:v>85643564.356435597</c:v>
                </c:pt>
                <c:pt idx="11">
                  <c:v>81930693.06930691</c:v>
                </c:pt>
                <c:pt idx="12">
                  <c:v>76732673.267326698</c:v>
                </c:pt>
                <c:pt idx="13">
                  <c:v>70792079.207920805</c:v>
                </c:pt>
              </c:numCache>
            </c:numRef>
          </c:yVal>
          <c:smooth val="0"/>
          <c:extLst>
            <c:ext xmlns:c16="http://schemas.microsoft.com/office/drawing/2014/chart" uri="{C3380CC4-5D6E-409C-BE32-E72D297353CC}">
              <c16:uniqueId val="{00000013-2FBA-4919-8506-6A13951966A0}"/>
            </c:ext>
          </c:extLst>
        </c:ser>
        <c:ser>
          <c:idx val="11"/>
          <c:order val="11"/>
          <c:tx>
            <c:strRef>
              <c:f>Continuous!$CI$1</c:f>
              <c:strCache>
                <c:ptCount val="1"/>
                <c:pt idx="0">
                  <c:v>Fuji 1707 Mass</c:v>
                </c:pt>
              </c:strCache>
            </c:strRef>
          </c:tx>
          <c:spPr>
            <a:ln w="19050" cap="rnd">
              <a:solidFill>
                <a:schemeClr val="accent6">
                  <a:lumMod val="60000"/>
                </a:schemeClr>
              </a:solidFill>
              <a:round/>
            </a:ln>
            <a:effectLst/>
          </c:spPr>
          <c:marker>
            <c:symbol val="none"/>
          </c:marker>
          <c:xVal>
            <c:numRef>
              <c:f>Continuous!$CK$4:$CK$35</c:f>
              <c:numCache>
                <c:formatCode>General</c:formatCode>
                <c:ptCount val="32"/>
                <c:pt idx="0">
                  <c:v>0</c:v>
                </c:pt>
                <c:pt idx="1">
                  <c:v>0</c:v>
                </c:pt>
                <c:pt idx="2">
                  <c:v>4.8362720403024184</c:v>
                </c:pt>
                <c:pt idx="3">
                  <c:v>4.8362720403024184</c:v>
                </c:pt>
                <c:pt idx="4">
                  <c:v>6.7707808564248353</c:v>
                </c:pt>
                <c:pt idx="5">
                  <c:v>6.7707808564248353</c:v>
                </c:pt>
                <c:pt idx="6">
                  <c:v>24.181360201512007</c:v>
                </c:pt>
                <c:pt idx="7">
                  <c:v>24.181360201512007</c:v>
                </c:pt>
                <c:pt idx="8">
                  <c:v>29.984886649874397</c:v>
                </c:pt>
                <c:pt idx="9">
                  <c:v>29.984886649874397</c:v>
                </c:pt>
                <c:pt idx="10">
                  <c:v>92.856423173805666</c:v>
                </c:pt>
                <c:pt idx="11">
                  <c:v>92.856423173805666</c:v>
                </c:pt>
                <c:pt idx="12">
                  <c:v>99.627204030228029</c:v>
                </c:pt>
                <c:pt idx="13">
                  <c:v>99.627204030228029</c:v>
                </c:pt>
                <c:pt idx="14">
                  <c:v>115.10327455919526</c:v>
                </c:pt>
                <c:pt idx="15">
                  <c:v>115.10327455919526</c:v>
                </c:pt>
                <c:pt idx="16">
                  <c:v>125.74307304786007</c:v>
                </c:pt>
                <c:pt idx="17">
                  <c:v>125.74307304786007</c:v>
                </c:pt>
                <c:pt idx="18">
                  <c:v>139.28463476070726</c:v>
                </c:pt>
                <c:pt idx="19">
                  <c:v>139.28463476070726</c:v>
                </c:pt>
                <c:pt idx="20">
                  <c:v>176.04030226700402</c:v>
                </c:pt>
                <c:pt idx="21">
                  <c:v>176.04030226700402</c:v>
                </c:pt>
                <c:pt idx="22">
                  <c:v>187.6473551637288</c:v>
                </c:pt>
                <c:pt idx="23">
                  <c:v>187.6473551637288</c:v>
                </c:pt>
                <c:pt idx="24">
                  <c:v>200.22166246851603</c:v>
                </c:pt>
                <c:pt idx="25">
                  <c:v>200.22166246851603</c:v>
                </c:pt>
                <c:pt idx="26">
                  <c:v>221.50125944584565</c:v>
                </c:pt>
                <c:pt idx="27">
                  <c:v>221.50125944584565</c:v>
                </c:pt>
                <c:pt idx="28">
                  <c:v>282.43828715365441</c:v>
                </c:pt>
                <c:pt idx="29">
                  <c:v>282.43828715365441</c:v>
                </c:pt>
                <c:pt idx="30">
                  <c:v>379.16372795969994</c:v>
                </c:pt>
                <c:pt idx="31">
                  <c:v>379.16372795969994</c:v>
                </c:pt>
              </c:numCache>
            </c:numRef>
          </c:xVal>
          <c:yVal>
            <c:numRef>
              <c:f>Continuous!$CM$4:$CM$35</c:f>
              <c:numCache>
                <c:formatCode>0.E+00</c:formatCode>
                <c:ptCount val="32"/>
                <c:pt idx="0">
                  <c:v>1</c:v>
                </c:pt>
                <c:pt idx="1">
                  <c:v>7045756.1173083829</c:v>
                </c:pt>
                <c:pt idx="2">
                  <c:v>7046262.1446563471</c:v>
                </c:pt>
                <c:pt idx="3">
                  <c:v>497155.00179920858</c:v>
                </c:pt>
                <c:pt idx="4">
                  <c:v>497357.41273839679</c:v>
                </c:pt>
                <c:pt idx="5">
                  <c:v>5358964.5555955349</c:v>
                </c:pt>
                <c:pt idx="6">
                  <c:v>5360685.0485786246</c:v>
                </c:pt>
                <c:pt idx="7">
                  <c:v>378643.39690536453</c:v>
                </c:pt>
                <c:pt idx="8">
                  <c:v>379250.62972292397</c:v>
                </c:pt>
                <c:pt idx="9">
                  <c:v>1062286.3440086325</c:v>
                </c:pt>
                <c:pt idx="10">
                  <c:v>1068763.49406261</c:v>
                </c:pt>
                <c:pt idx="11">
                  <c:v>104578.98524649223</c:v>
                </c:pt>
                <c:pt idx="12">
                  <c:v>105287.4235336455</c:v>
                </c:pt>
                <c:pt idx="13">
                  <c:v>1350823.13781936</c:v>
                </c:pt>
                <c:pt idx="14">
                  <c:v>1352442.4253328524</c:v>
                </c:pt>
                <c:pt idx="15">
                  <c:v>106906.71104713874</c:v>
                </c:pt>
                <c:pt idx="16">
                  <c:v>108019.97121266626</c:v>
                </c:pt>
                <c:pt idx="17">
                  <c:v>389269.97121266846</c:v>
                </c:pt>
                <c:pt idx="18">
                  <c:v>390686.84778697573</c:v>
                </c:pt>
                <c:pt idx="19">
                  <c:v>270151.13350125973</c:v>
                </c:pt>
                <c:pt idx="20">
                  <c:v>271466.80460597249</c:v>
                </c:pt>
                <c:pt idx="21">
                  <c:v>2323104.0842029504</c:v>
                </c:pt>
                <c:pt idx="22">
                  <c:v>2324318.5498380675</c:v>
                </c:pt>
                <c:pt idx="23">
                  <c:v>114497.12126664299</c:v>
                </c:pt>
                <c:pt idx="24">
                  <c:v>115812.79237135575</c:v>
                </c:pt>
                <c:pt idx="25">
                  <c:v>477419.9352285015</c:v>
                </c:pt>
                <c:pt idx="26">
                  <c:v>519723.82151853293</c:v>
                </c:pt>
                <c:pt idx="27">
                  <c:v>2930539.3127024099</c:v>
                </c:pt>
                <c:pt idx="28">
                  <c:v>2936814.0518171927</c:v>
                </c:pt>
                <c:pt idx="29">
                  <c:v>847629.54300107993</c:v>
                </c:pt>
                <c:pt idx="30">
                  <c:v>897928.66138898255</c:v>
                </c:pt>
                <c:pt idx="31">
                  <c:v>1</c:v>
                </c:pt>
              </c:numCache>
            </c:numRef>
          </c:yVal>
          <c:smooth val="0"/>
          <c:extLst>
            <c:ext xmlns:c16="http://schemas.microsoft.com/office/drawing/2014/chart" uri="{C3380CC4-5D6E-409C-BE32-E72D297353CC}">
              <c16:uniqueId val="{00000014-2FBA-4919-8506-6A13951966A0}"/>
            </c:ext>
          </c:extLst>
        </c:ser>
        <c:dLbls>
          <c:showLegendKey val="0"/>
          <c:showVal val="0"/>
          <c:showCatName val="0"/>
          <c:showSerName val="0"/>
          <c:showPercent val="0"/>
          <c:showBubbleSize val="0"/>
        </c:dLbls>
        <c:axId val="571126096"/>
        <c:axId val="571128016"/>
      </c:scatterChart>
      <c:valAx>
        <c:axId val="571126096"/>
        <c:scaling>
          <c:orientation val="minMax"/>
          <c:max val="14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Time (hours)</a:t>
                </a:r>
                <a:endParaRPr lang="ja-JP"/>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571128016"/>
        <c:crosses val="autoZero"/>
        <c:crossBetween val="midCat"/>
      </c:valAx>
      <c:valAx>
        <c:axId val="571128016"/>
        <c:scaling>
          <c:logBase val="10"/>
          <c:orientation val="minMax"/>
          <c:max val="2000000000"/>
          <c:min val="10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a:t>Mass Eruption Rate (kg/s)</a:t>
                </a:r>
                <a:endParaRPr lang="ja-JP"/>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title>
        <c:numFmt formatCode="0.E+00" sourceLinked="1"/>
        <c:majorTickMark val="none"/>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571126096"/>
        <c:crosses val="autoZero"/>
        <c:crossBetween val="midCat"/>
      </c:valAx>
      <c:spPr>
        <a:noFill/>
        <a:ln>
          <a:noFill/>
        </a:ln>
        <a:effectLst/>
      </c:spPr>
    </c:plotArea>
    <c:legend>
      <c:legendPos val="b"/>
      <c:layout>
        <c:manualLayout>
          <c:xMode val="edge"/>
          <c:yMode val="edge"/>
          <c:x val="4.5281829937830219E-2"/>
          <c:y val="0.85822079787010774"/>
          <c:w val="0.9135003328581629"/>
          <c:h val="0.12445639746304675"/>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Descrete!$M$2:$M$1086</c:f>
              <c:numCache>
                <c:formatCode>0.00</c:formatCode>
                <c:ptCount val="1085"/>
                <c:pt idx="0">
                  <c:v>-121</c:v>
                </c:pt>
                <c:pt idx="1">
                  <c:v>-49</c:v>
                </c:pt>
                <c:pt idx="2">
                  <c:v>-25</c:v>
                </c:pt>
                <c:pt idx="3">
                  <c:v>-7.8666666666666663</c:v>
                </c:pt>
                <c:pt idx="4">
                  <c:v>-5</c:v>
                </c:pt>
                <c:pt idx="5">
                  <c:v>0</c:v>
                </c:pt>
                <c:pt idx="6">
                  <c:v>2</c:v>
                </c:pt>
                <c:pt idx="7">
                  <c:v>5</c:v>
                </c:pt>
                <c:pt idx="8">
                  <c:v>10.933333333267106</c:v>
                </c:pt>
                <c:pt idx="9">
                  <c:v>10.933333333267106</c:v>
                </c:pt>
                <c:pt idx="10">
                  <c:v>16</c:v>
                </c:pt>
                <c:pt idx="11">
                  <c:v>19</c:v>
                </c:pt>
                <c:pt idx="12">
                  <c:v>23</c:v>
                </c:pt>
                <c:pt idx="13">
                  <c:v>32.600000000066224</c:v>
                </c:pt>
                <c:pt idx="14">
                  <c:v>49.5</c:v>
                </c:pt>
                <c:pt idx="15">
                  <c:v>51</c:v>
                </c:pt>
                <c:pt idx="16">
                  <c:v>66</c:v>
                </c:pt>
                <c:pt idx="17">
                  <c:v>89.1</c:v>
                </c:pt>
                <c:pt idx="18">
                  <c:v>262.46666666666664</c:v>
                </c:pt>
                <c:pt idx="19">
                  <c:v>359987</c:v>
                </c:pt>
                <c:pt idx="20">
                  <c:v>15621345.25</c:v>
                </c:pt>
                <c:pt idx="21">
                  <c:v>-928550.75</c:v>
                </c:pt>
                <c:pt idx="22">
                  <c:v>-853082.75</c:v>
                </c:pt>
                <c:pt idx="23">
                  <c:v>-805838.75</c:v>
                </c:pt>
                <c:pt idx="24">
                  <c:v>-784322.75</c:v>
                </c:pt>
                <c:pt idx="25">
                  <c:v>-722354.75</c:v>
                </c:pt>
                <c:pt idx="26">
                  <c:v>-675674.75</c:v>
                </c:pt>
                <c:pt idx="27">
                  <c:v>-447386.75</c:v>
                </c:pt>
                <c:pt idx="28">
                  <c:v>-447355.56666666665</c:v>
                </c:pt>
                <c:pt idx="29">
                  <c:v>-447317.75</c:v>
                </c:pt>
                <c:pt idx="30">
                  <c:v>-447314.75</c:v>
                </c:pt>
                <c:pt idx="31">
                  <c:v>-183446.75</c:v>
                </c:pt>
                <c:pt idx="32">
                  <c:v>-133898.75</c:v>
                </c:pt>
                <c:pt idx="33">
                  <c:v>-73010.75</c:v>
                </c:pt>
                <c:pt idx="34">
                  <c:v>-64154.75</c:v>
                </c:pt>
                <c:pt idx="35">
                  <c:v>-38618.75</c:v>
                </c:pt>
                <c:pt idx="36">
                  <c:v>-34430.75</c:v>
                </c:pt>
                <c:pt idx="37">
                  <c:v>-11096.1833333334</c:v>
                </c:pt>
                <c:pt idx="38">
                  <c:v>-2606.75</c:v>
                </c:pt>
                <c:pt idx="39">
                  <c:v>-938.75</c:v>
                </c:pt>
                <c:pt idx="40">
                  <c:v>-938.75</c:v>
                </c:pt>
                <c:pt idx="41">
                  <c:v>-74.75</c:v>
                </c:pt>
                <c:pt idx="42">
                  <c:v>-74.75</c:v>
                </c:pt>
                <c:pt idx="43">
                  <c:v>-2.75</c:v>
                </c:pt>
                <c:pt idx="44">
                  <c:v>6.6227383083767361E-11</c:v>
                </c:pt>
                <c:pt idx="45">
                  <c:v>6.6227383083767361E-11</c:v>
                </c:pt>
                <c:pt idx="46">
                  <c:v>33.25</c:v>
                </c:pt>
                <c:pt idx="47">
                  <c:v>45.25</c:v>
                </c:pt>
                <c:pt idx="48">
                  <c:v>69.25</c:v>
                </c:pt>
                <c:pt idx="49">
                  <c:v>165.25</c:v>
                </c:pt>
                <c:pt idx="50">
                  <c:v>261.25</c:v>
                </c:pt>
                <c:pt idx="51">
                  <c:v>501.25</c:v>
                </c:pt>
                <c:pt idx="52">
                  <c:v>6837.25</c:v>
                </c:pt>
                <c:pt idx="53">
                  <c:v>15500226.416666666</c:v>
                </c:pt>
                <c:pt idx="54">
                  <c:v>-11237.583333333334</c:v>
                </c:pt>
                <c:pt idx="55">
                  <c:v>-10841.583333333334</c:v>
                </c:pt>
                <c:pt idx="56">
                  <c:v>-9749.5833333333339</c:v>
                </c:pt>
                <c:pt idx="57">
                  <c:v>-2950.9000000000497</c:v>
                </c:pt>
                <c:pt idx="58">
                  <c:v>-2751.2833333333497</c:v>
                </c:pt>
                <c:pt idx="59">
                  <c:v>-1733.5833333333333</c:v>
                </c:pt>
                <c:pt idx="60">
                  <c:v>-1337.5833333333333</c:v>
                </c:pt>
                <c:pt idx="61">
                  <c:v>-737.48333333334995</c:v>
                </c:pt>
                <c:pt idx="62">
                  <c:v>-665.58333333333337</c:v>
                </c:pt>
                <c:pt idx="63">
                  <c:v>-550.1833333333168</c:v>
                </c:pt>
                <c:pt idx="64">
                  <c:v>-425.58333333333331</c:v>
                </c:pt>
                <c:pt idx="65">
                  <c:v>-164.14999999998344</c:v>
                </c:pt>
                <c:pt idx="66">
                  <c:v>-50.31666666666667</c:v>
                </c:pt>
                <c:pt idx="67">
                  <c:v>-22.966666666666665</c:v>
                </c:pt>
                <c:pt idx="68">
                  <c:v>-8.1166666666335523</c:v>
                </c:pt>
                <c:pt idx="69">
                  <c:v>-7.1166666666832237</c:v>
                </c:pt>
                <c:pt idx="70">
                  <c:v>-6.333333333333333</c:v>
                </c:pt>
                <c:pt idx="71">
                  <c:v>-6.0500000000331138</c:v>
                </c:pt>
                <c:pt idx="72">
                  <c:v>-3.8166666666666669</c:v>
                </c:pt>
                <c:pt idx="73">
                  <c:v>-3.0833333333002195</c:v>
                </c:pt>
                <c:pt idx="74">
                  <c:v>-2.5833333333333335</c:v>
                </c:pt>
                <c:pt idx="75">
                  <c:v>9.4166666666666661</c:v>
                </c:pt>
                <c:pt idx="76">
                  <c:v>18.416666666666668</c:v>
                </c:pt>
                <c:pt idx="77">
                  <c:v>25.666666666633553</c:v>
                </c:pt>
                <c:pt idx="78">
                  <c:v>25.666666666633553</c:v>
                </c:pt>
                <c:pt idx="79">
                  <c:v>27.416666666666668</c:v>
                </c:pt>
                <c:pt idx="80">
                  <c:v>33.416666666666664</c:v>
                </c:pt>
                <c:pt idx="81">
                  <c:v>49.416666666699783</c:v>
                </c:pt>
                <c:pt idx="82">
                  <c:v>50.083333333349891</c:v>
                </c:pt>
                <c:pt idx="83">
                  <c:v>55.916666666666664</c:v>
                </c:pt>
                <c:pt idx="84">
                  <c:v>74.083333333349884</c:v>
                </c:pt>
                <c:pt idx="85">
                  <c:v>96.416666666666671</c:v>
                </c:pt>
                <c:pt idx="86">
                  <c:v>98.066666666633552</c:v>
                </c:pt>
                <c:pt idx="87">
                  <c:v>101.41666666663355</c:v>
                </c:pt>
                <c:pt idx="88">
                  <c:v>108.41666666666667</c:v>
                </c:pt>
                <c:pt idx="89">
                  <c:v>108.41666666666667</c:v>
                </c:pt>
                <c:pt idx="90">
                  <c:v>116.91666666669978</c:v>
                </c:pt>
                <c:pt idx="91">
                  <c:v>116.94999999996689</c:v>
                </c:pt>
                <c:pt idx="92">
                  <c:v>117.66666666669978</c:v>
                </c:pt>
                <c:pt idx="93">
                  <c:v>118.01666666669978</c:v>
                </c:pt>
                <c:pt idx="94">
                  <c:v>118.41666666669978</c:v>
                </c:pt>
                <c:pt idx="95">
                  <c:v>119.16666666669978</c:v>
                </c:pt>
                <c:pt idx="96">
                  <c:v>120.71666666668322</c:v>
                </c:pt>
                <c:pt idx="97">
                  <c:v>123.41666666666667</c:v>
                </c:pt>
                <c:pt idx="98">
                  <c:v>133.91666666666666</c:v>
                </c:pt>
                <c:pt idx="99">
                  <c:v>134.00000000001657</c:v>
                </c:pt>
                <c:pt idx="100">
                  <c:v>134.00000000001657</c:v>
                </c:pt>
                <c:pt idx="101">
                  <c:v>134.33333333330023</c:v>
                </c:pt>
                <c:pt idx="102">
                  <c:v>134.41666666663355</c:v>
                </c:pt>
                <c:pt idx="103">
                  <c:v>134.41666666663355</c:v>
                </c:pt>
                <c:pt idx="104">
                  <c:v>139.41666666669977</c:v>
                </c:pt>
                <c:pt idx="105">
                  <c:v>141.41666666666666</c:v>
                </c:pt>
                <c:pt idx="106">
                  <c:v>143.78333333336644</c:v>
                </c:pt>
                <c:pt idx="107">
                  <c:v>145.41666666669977</c:v>
                </c:pt>
                <c:pt idx="108">
                  <c:v>145.91666666666666</c:v>
                </c:pt>
                <c:pt idx="109">
                  <c:v>146.14999999996689</c:v>
                </c:pt>
                <c:pt idx="110">
                  <c:v>155.91666666669977</c:v>
                </c:pt>
                <c:pt idx="111">
                  <c:v>150.41666666666666</c:v>
                </c:pt>
                <c:pt idx="112">
                  <c:v>3990.4166666666665</c:v>
                </c:pt>
                <c:pt idx="113">
                  <c:v>15171552</c:v>
                </c:pt>
                <c:pt idx="114">
                  <c:v>15177612</c:v>
                </c:pt>
                <c:pt idx="115">
                  <c:v>15221436</c:v>
                </c:pt>
                <c:pt idx="116">
                  <c:v>15396756</c:v>
                </c:pt>
                <c:pt idx="117">
                  <c:v>15404280</c:v>
                </c:pt>
                <c:pt idx="118">
                  <c:v>15414276</c:v>
                </c:pt>
                <c:pt idx="119">
                  <c:v>15496752</c:v>
                </c:pt>
                <c:pt idx="120">
                  <c:v>15617004</c:v>
                </c:pt>
                <c:pt idx="121">
                  <c:v>15623556</c:v>
                </c:pt>
                <c:pt idx="122">
                  <c:v>15703548</c:v>
                </c:pt>
                <c:pt idx="123">
                  <c:v>15721068</c:v>
                </c:pt>
                <c:pt idx="124">
                  <c:v>15823008</c:v>
                </c:pt>
                <c:pt idx="125">
                  <c:v>15835020</c:v>
                </c:pt>
                <c:pt idx="126">
                  <c:v>16272888</c:v>
                </c:pt>
                <c:pt idx="127">
                  <c:v>16282092</c:v>
                </c:pt>
                <c:pt idx="128">
                  <c:v>16296624</c:v>
                </c:pt>
                <c:pt idx="129">
                  <c:v>16316712</c:v>
                </c:pt>
                <c:pt idx="130">
                  <c:v>16325916</c:v>
                </c:pt>
                <c:pt idx="131">
                  <c:v>16365192</c:v>
                </c:pt>
                <c:pt idx="132">
                  <c:v>16373448</c:v>
                </c:pt>
                <c:pt idx="133">
                  <c:v>16387284</c:v>
                </c:pt>
                <c:pt idx="134">
                  <c:v>16417872</c:v>
                </c:pt>
                <c:pt idx="135">
                  <c:v>16431108</c:v>
                </c:pt>
                <c:pt idx="136">
                  <c:v>16449600</c:v>
                </c:pt>
                <c:pt idx="137">
                  <c:v>16460784</c:v>
                </c:pt>
                <c:pt idx="138">
                  <c:v>16466172</c:v>
                </c:pt>
                <c:pt idx="139">
                  <c:v>16487472</c:v>
                </c:pt>
                <c:pt idx="140">
                  <c:v>-86976</c:v>
                </c:pt>
                <c:pt idx="141">
                  <c:v>-74940</c:v>
                </c:pt>
                <c:pt idx="142">
                  <c:v>-35784</c:v>
                </c:pt>
                <c:pt idx="143">
                  <c:v>0</c:v>
                </c:pt>
                <c:pt idx="144">
                  <c:v>64</c:v>
                </c:pt>
                <c:pt idx="145">
                  <c:v>70.5</c:v>
                </c:pt>
                <c:pt idx="146">
                  <c:v>71.5</c:v>
                </c:pt>
                <c:pt idx="147">
                  <c:v>167.5</c:v>
                </c:pt>
                <c:pt idx="148">
                  <c:v>117900</c:v>
                </c:pt>
                <c:pt idx="149">
                  <c:v>247560</c:v>
                </c:pt>
                <c:pt idx="150">
                  <c:v>388512</c:v>
                </c:pt>
                <c:pt idx="151">
                  <c:v>424752</c:v>
                </c:pt>
                <c:pt idx="152">
                  <c:v>442272</c:v>
                </c:pt>
                <c:pt idx="153">
                  <c:v>526272</c:v>
                </c:pt>
                <c:pt idx="154">
                  <c:v>551352</c:v>
                </c:pt>
                <c:pt idx="155">
                  <c:v>569016</c:v>
                </c:pt>
                <c:pt idx="156">
                  <c:v>614208</c:v>
                </c:pt>
                <c:pt idx="157">
                  <c:v>635136</c:v>
                </c:pt>
                <c:pt idx="158">
                  <c:v>652656</c:v>
                </c:pt>
                <c:pt idx="159">
                  <c:v>661032</c:v>
                </c:pt>
                <c:pt idx="160">
                  <c:v>684768</c:v>
                </c:pt>
                <c:pt idx="161">
                  <c:v>714480</c:v>
                </c:pt>
                <c:pt idx="162">
                  <c:v>743760</c:v>
                </c:pt>
                <c:pt idx="163">
                  <c:v>876336</c:v>
                </c:pt>
                <c:pt idx="164">
                  <c:v>931920</c:v>
                </c:pt>
                <c:pt idx="165">
                  <c:v>15904968</c:v>
                </c:pt>
                <c:pt idx="174">
                  <c:v>0</c:v>
                </c:pt>
                <c:pt idx="176">
                  <c:v>1795</c:v>
                </c:pt>
                <c:pt idx="179">
                  <c:v>1822</c:v>
                </c:pt>
                <c:pt idx="196">
                  <c:v>15583118.9</c:v>
                </c:pt>
                <c:pt idx="197">
                  <c:v>15599390.9</c:v>
                </c:pt>
                <c:pt idx="198">
                  <c:v>-953829.1</c:v>
                </c:pt>
                <c:pt idx="199">
                  <c:v>-946737.1</c:v>
                </c:pt>
                <c:pt idx="200">
                  <c:v>-930093.1</c:v>
                </c:pt>
                <c:pt idx="201">
                  <c:v>-859221.1</c:v>
                </c:pt>
                <c:pt idx="202">
                  <c:v>-756417.1</c:v>
                </c:pt>
                <c:pt idx="203">
                  <c:v>-725901.1</c:v>
                </c:pt>
                <c:pt idx="204">
                  <c:v>-611949.1</c:v>
                </c:pt>
                <c:pt idx="205">
                  <c:v>-481393.91666666669</c:v>
                </c:pt>
                <c:pt idx="206">
                  <c:v>-475281.1</c:v>
                </c:pt>
                <c:pt idx="207">
                  <c:v>-373905.1</c:v>
                </c:pt>
                <c:pt idx="208">
                  <c:v>-164877.1</c:v>
                </c:pt>
                <c:pt idx="209">
                  <c:v>-513.1</c:v>
                </c:pt>
                <c:pt idx="210">
                  <c:v>-0.34999999993377262</c:v>
                </c:pt>
                <c:pt idx="211">
                  <c:v>0</c:v>
                </c:pt>
                <c:pt idx="212">
                  <c:v>3.2333333333995609</c:v>
                </c:pt>
                <c:pt idx="213">
                  <c:v>7.0333333333333332</c:v>
                </c:pt>
                <c:pt idx="214">
                  <c:v>14.9</c:v>
                </c:pt>
                <c:pt idx="215">
                  <c:v>182.9</c:v>
                </c:pt>
                <c:pt idx="216">
                  <c:v>-552</c:v>
                </c:pt>
                <c:pt idx="217">
                  <c:v>-72</c:v>
                </c:pt>
                <c:pt idx="218">
                  <c:v>0</c:v>
                </c:pt>
                <c:pt idx="219">
                  <c:v>960</c:v>
                </c:pt>
                <c:pt idx="220">
                  <c:v>960</c:v>
                </c:pt>
                <c:pt idx="221">
                  <c:v>3840</c:v>
                </c:pt>
                <c:pt idx="222">
                  <c:v>15552</c:v>
                </c:pt>
                <c:pt idx="223">
                  <c:v>19608</c:v>
                </c:pt>
                <c:pt idx="224">
                  <c:v>22608</c:v>
                </c:pt>
                <c:pt idx="225">
                  <c:v>27912</c:v>
                </c:pt>
                <c:pt idx="226">
                  <c:v>34896</c:v>
                </c:pt>
                <c:pt idx="227">
                  <c:v>39240</c:v>
                </c:pt>
                <c:pt idx="228">
                  <c:v>47544</c:v>
                </c:pt>
                <c:pt idx="229">
                  <c:v>48912</c:v>
                </c:pt>
                <c:pt idx="230">
                  <c:v>52512</c:v>
                </c:pt>
                <c:pt idx="231">
                  <c:v>61344</c:v>
                </c:pt>
                <c:pt idx="232">
                  <c:v>66312</c:v>
                </c:pt>
                <c:pt idx="233">
                  <c:v>76056</c:v>
                </c:pt>
                <c:pt idx="234">
                  <c:v>80448</c:v>
                </c:pt>
                <c:pt idx="235">
                  <c:v>82224</c:v>
                </c:pt>
                <c:pt idx="236">
                  <c:v>134976</c:v>
                </c:pt>
                <c:pt idx="237">
                  <c:v>179040</c:v>
                </c:pt>
                <c:pt idx="238">
                  <c:v>187800</c:v>
                </c:pt>
                <c:pt idx="239">
                  <c:v>200568</c:v>
                </c:pt>
                <c:pt idx="240">
                  <c:v>204312</c:v>
                </c:pt>
                <c:pt idx="241">
                  <c:v>209568</c:v>
                </c:pt>
                <c:pt idx="242">
                  <c:v>214680</c:v>
                </c:pt>
                <c:pt idx="243">
                  <c:v>217680</c:v>
                </c:pt>
                <c:pt idx="244">
                  <c:v>224760</c:v>
                </c:pt>
                <c:pt idx="245">
                  <c:v>247992</c:v>
                </c:pt>
                <c:pt idx="246">
                  <c:v>259824</c:v>
                </c:pt>
                <c:pt idx="247">
                  <c:v>266712</c:v>
                </c:pt>
                <c:pt idx="248">
                  <c:v>272808</c:v>
                </c:pt>
                <c:pt idx="249">
                  <c:v>296088</c:v>
                </c:pt>
                <c:pt idx="250">
                  <c:v>300432</c:v>
                </c:pt>
                <c:pt idx="251">
                  <c:v>318984</c:v>
                </c:pt>
                <c:pt idx="252">
                  <c:v>333096</c:v>
                </c:pt>
                <c:pt idx="253">
                  <c:v>339312</c:v>
                </c:pt>
                <c:pt idx="254">
                  <c:v>349776</c:v>
                </c:pt>
                <c:pt idx="255">
                  <c:v>357240</c:v>
                </c:pt>
                <c:pt idx="256">
                  <c:v>364176</c:v>
                </c:pt>
                <c:pt idx="257">
                  <c:v>369240</c:v>
                </c:pt>
                <c:pt idx="258">
                  <c:v>373968</c:v>
                </c:pt>
                <c:pt idx="259">
                  <c:v>379968</c:v>
                </c:pt>
                <c:pt idx="260">
                  <c:v>389160</c:v>
                </c:pt>
                <c:pt idx="261">
                  <c:v>392184</c:v>
                </c:pt>
                <c:pt idx="262">
                  <c:v>401064</c:v>
                </c:pt>
                <c:pt idx="263">
                  <c:v>404424</c:v>
                </c:pt>
                <c:pt idx="264">
                  <c:v>413544</c:v>
                </c:pt>
                <c:pt idx="265">
                  <c:v>418656</c:v>
                </c:pt>
                <c:pt idx="266">
                  <c:v>422784</c:v>
                </c:pt>
                <c:pt idx="267">
                  <c:v>439224</c:v>
                </c:pt>
                <c:pt idx="268">
                  <c:v>442536</c:v>
                </c:pt>
                <c:pt idx="269">
                  <c:v>451872</c:v>
                </c:pt>
                <c:pt idx="270">
                  <c:v>462144</c:v>
                </c:pt>
                <c:pt idx="271">
                  <c:v>474720</c:v>
                </c:pt>
                <c:pt idx="272">
                  <c:v>478440</c:v>
                </c:pt>
                <c:pt idx="273">
                  <c:v>15846023.366666667</c:v>
                </c:pt>
                <c:pt idx="274">
                  <c:v>15861231.366666667</c:v>
                </c:pt>
                <c:pt idx="275">
                  <c:v>-358196.63333333336</c:v>
                </c:pt>
                <c:pt idx="276">
                  <c:v>-354464.63333333336</c:v>
                </c:pt>
                <c:pt idx="277">
                  <c:v>-276656.63333333336</c:v>
                </c:pt>
                <c:pt idx="278">
                  <c:v>-107660.63333333333</c:v>
                </c:pt>
                <c:pt idx="279">
                  <c:v>-38540.633333333331</c:v>
                </c:pt>
                <c:pt idx="280">
                  <c:v>-38444.633333333331</c:v>
                </c:pt>
                <c:pt idx="281">
                  <c:v>-37617.633333333368</c:v>
                </c:pt>
                <c:pt idx="282">
                  <c:v>-36380.633333333331</c:v>
                </c:pt>
                <c:pt idx="283">
                  <c:v>-35876.633333333331</c:v>
                </c:pt>
                <c:pt idx="284">
                  <c:v>-6032.6333333333332</c:v>
                </c:pt>
                <c:pt idx="285">
                  <c:v>-6356.6333333333332</c:v>
                </c:pt>
                <c:pt idx="286">
                  <c:v>-5756.6333333333332</c:v>
                </c:pt>
                <c:pt idx="287">
                  <c:v>-2360.6333333333332</c:v>
                </c:pt>
                <c:pt idx="288">
                  <c:v>-0.65</c:v>
                </c:pt>
                <c:pt idx="289">
                  <c:v>2.4835268656412762E-11</c:v>
                </c:pt>
                <c:pt idx="290">
                  <c:v>1.3666666666997804</c:v>
                </c:pt>
                <c:pt idx="291">
                  <c:v>7.6833333333498901</c:v>
                </c:pt>
                <c:pt idx="292">
                  <c:v>9.3666666666666671</c:v>
                </c:pt>
                <c:pt idx="293">
                  <c:v>19.25</c:v>
                </c:pt>
                <c:pt idx="294">
                  <c:v>21.566666666708059</c:v>
                </c:pt>
                <c:pt idx="295">
                  <c:v>24.366666666666667</c:v>
                </c:pt>
                <c:pt idx="296">
                  <c:v>31.366666666699782</c:v>
                </c:pt>
                <c:pt idx="297">
                  <c:v>40.866666666666667</c:v>
                </c:pt>
                <c:pt idx="298">
                  <c:v>48.366666666666667</c:v>
                </c:pt>
                <c:pt idx="299">
                  <c:v>68.366666666633549</c:v>
                </c:pt>
                <c:pt idx="300">
                  <c:v>77.366666666633549</c:v>
                </c:pt>
                <c:pt idx="301">
                  <c:v>367.10000000003311</c:v>
                </c:pt>
                <c:pt idx="302">
                  <c:v>411.36666666666667</c:v>
                </c:pt>
                <c:pt idx="303">
                  <c:v>507.36666666666667</c:v>
                </c:pt>
                <c:pt idx="304">
                  <c:v>1971.3666666666666</c:v>
                </c:pt>
                <c:pt idx="305">
                  <c:v>83103.366666666669</c:v>
                </c:pt>
                <c:pt idx="306">
                  <c:v>89187.366666666669</c:v>
                </c:pt>
                <c:pt idx="307">
                  <c:v>89211.366666666669</c:v>
                </c:pt>
                <c:pt idx="308">
                  <c:v>89306.283333333296</c:v>
                </c:pt>
                <c:pt idx="309">
                  <c:v>89811.366666666669</c:v>
                </c:pt>
                <c:pt idx="310">
                  <c:v>92475.366666666669</c:v>
                </c:pt>
                <c:pt idx="311">
                  <c:v>109757.44999999997</c:v>
                </c:pt>
                <c:pt idx="312">
                  <c:v>256959.36666666667</c:v>
                </c:pt>
                <c:pt idx="313">
                  <c:v>261771.36666666667</c:v>
                </c:pt>
                <c:pt idx="314">
                  <c:v>262731.36666666664</c:v>
                </c:pt>
                <c:pt idx="315">
                  <c:v>263163.36666666664</c:v>
                </c:pt>
                <c:pt idx="316">
                  <c:v>345711.36666666664</c:v>
                </c:pt>
                <c:pt idx="317">
                  <c:v>-681453</c:v>
                </c:pt>
                <c:pt idx="318">
                  <c:v>-25845</c:v>
                </c:pt>
                <c:pt idx="319">
                  <c:v>-9741</c:v>
                </c:pt>
                <c:pt idx="320">
                  <c:v>-4653</c:v>
                </c:pt>
                <c:pt idx="321">
                  <c:v>-2481</c:v>
                </c:pt>
                <c:pt idx="322">
                  <c:v>-2265</c:v>
                </c:pt>
                <c:pt idx="323">
                  <c:v>-2073</c:v>
                </c:pt>
                <c:pt idx="324">
                  <c:v>-2025</c:v>
                </c:pt>
                <c:pt idx="325">
                  <c:v>-2033</c:v>
                </c:pt>
                <c:pt idx="326">
                  <c:v>-969</c:v>
                </c:pt>
                <c:pt idx="327">
                  <c:v>-921</c:v>
                </c:pt>
                <c:pt idx="328">
                  <c:v>-441</c:v>
                </c:pt>
                <c:pt idx="329">
                  <c:v>0</c:v>
                </c:pt>
                <c:pt idx="330">
                  <c:v>6.5</c:v>
                </c:pt>
                <c:pt idx="331">
                  <c:v>9.5</c:v>
                </c:pt>
                <c:pt idx="332">
                  <c:v>87</c:v>
                </c:pt>
                <c:pt idx="333">
                  <c:v>159</c:v>
                </c:pt>
                <c:pt idx="334">
                  <c:v>2271</c:v>
                </c:pt>
                <c:pt idx="335">
                  <c:v>2415</c:v>
                </c:pt>
                <c:pt idx="336">
                  <c:v>3351</c:v>
                </c:pt>
                <c:pt idx="337">
                  <c:v>3351</c:v>
                </c:pt>
                <c:pt idx="338">
                  <c:v>-16267125</c:v>
                </c:pt>
                <c:pt idx="339">
                  <c:v>-16252149</c:v>
                </c:pt>
                <c:pt idx="340">
                  <c:v>-16237509</c:v>
                </c:pt>
                <c:pt idx="341">
                  <c:v>-16236057</c:v>
                </c:pt>
                <c:pt idx="342">
                  <c:v>-16223277</c:v>
                </c:pt>
                <c:pt idx="343">
                  <c:v>-16205409</c:v>
                </c:pt>
                <c:pt idx="344">
                  <c:v>-16096449</c:v>
                </c:pt>
                <c:pt idx="345">
                  <c:v>-15896121</c:v>
                </c:pt>
                <c:pt idx="346">
                  <c:v>14945597</c:v>
                </c:pt>
                <c:pt idx="347">
                  <c:v>15139181</c:v>
                </c:pt>
                <c:pt idx="348">
                  <c:v>15279797</c:v>
                </c:pt>
                <c:pt idx="349">
                  <c:v>15340061</c:v>
                </c:pt>
                <c:pt idx="350">
                  <c:v>15395177</c:v>
                </c:pt>
                <c:pt idx="351">
                  <c:v>15442193</c:v>
                </c:pt>
                <c:pt idx="352">
                  <c:v>15530009</c:v>
                </c:pt>
                <c:pt idx="353">
                  <c:v>15607445</c:v>
                </c:pt>
                <c:pt idx="354">
                  <c:v>15656741</c:v>
                </c:pt>
                <c:pt idx="355">
                  <c:v>-884395</c:v>
                </c:pt>
                <c:pt idx="356">
                  <c:v>-805507</c:v>
                </c:pt>
                <c:pt idx="357">
                  <c:v>-777031</c:v>
                </c:pt>
                <c:pt idx="358">
                  <c:v>-679135</c:v>
                </c:pt>
                <c:pt idx="359">
                  <c:v>-676231</c:v>
                </c:pt>
                <c:pt idx="360">
                  <c:v>-669847</c:v>
                </c:pt>
                <c:pt idx="361">
                  <c:v>-640051</c:v>
                </c:pt>
                <c:pt idx="362">
                  <c:v>-630547</c:v>
                </c:pt>
                <c:pt idx="363">
                  <c:v>-614467</c:v>
                </c:pt>
                <c:pt idx="364">
                  <c:v>-575503</c:v>
                </c:pt>
                <c:pt idx="365">
                  <c:v>-554539</c:v>
                </c:pt>
                <c:pt idx="366">
                  <c:v>-502687</c:v>
                </c:pt>
                <c:pt idx="367">
                  <c:v>-498319</c:v>
                </c:pt>
                <c:pt idx="368">
                  <c:v>-343183</c:v>
                </c:pt>
                <c:pt idx="369">
                  <c:v>-303979</c:v>
                </c:pt>
                <c:pt idx="370">
                  <c:v>-256927</c:v>
                </c:pt>
                <c:pt idx="371">
                  <c:v>-245294.99999999997</c:v>
                </c:pt>
                <c:pt idx="372">
                  <c:v>-245288.99999999997</c:v>
                </c:pt>
                <c:pt idx="373">
                  <c:v>-245284</c:v>
                </c:pt>
                <c:pt idx="374">
                  <c:v>-245277.74999999997</c:v>
                </c:pt>
                <c:pt idx="375">
                  <c:v>-245272</c:v>
                </c:pt>
                <c:pt idx="376">
                  <c:v>-245264.5</c:v>
                </c:pt>
                <c:pt idx="377">
                  <c:v>-245239</c:v>
                </c:pt>
                <c:pt idx="378">
                  <c:v>-245215</c:v>
                </c:pt>
                <c:pt idx="379">
                  <c:v>-245191</c:v>
                </c:pt>
                <c:pt idx="380">
                  <c:v>-245095</c:v>
                </c:pt>
                <c:pt idx="381">
                  <c:v>-138931</c:v>
                </c:pt>
                <c:pt idx="382">
                  <c:v>-129403</c:v>
                </c:pt>
                <c:pt idx="383">
                  <c:v>-133771</c:v>
                </c:pt>
                <c:pt idx="384">
                  <c:v>-128336.20000000007</c:v>
                </c:pt>
                <c:pt idx="385">
                  <c:v>-128323</c:v>
                </c:pt>
                <c:pt idx="386">
                  <c:v>-128301.00000000007</c:v>
                </c:pt>
                <c:pt idx="387">
                  <c:v>-128293</c:v>
                </c:pt>
                <c:pt idx="388">
                  <c:v>-128292.00000000007</c:v>
                </c:pt>
                <c:pt idx="389">
                  <c:v>-128270.2166666666</c:v>
                </c:pt>
                <c:pt idx="390">
                  <c:v>-128266.99999999993</c:v>
                </c:pt>
                <c:pt idx="391">
                  <c:v>-128260</c:v>
                </c:pt>
                <c:pt idx="392">
                  <c:v>-128239</c:v>
                </c:pt>
                <c:pt idx="393">
                  <c:v>-128215</c:v>
                </c:pt>
                <c:pt idx="394">
                  <c:v>-128143</c:v>
                </c:pt>
                <c:pt idx="395">
                  <c:v>-128094.49999999993</c:v>
                </c:pt>
                <c:pt idx="396">
                  <c:v>-128071</c:v>
                </c:pt>
                <c:pt idx="397">
                  <c:v>-128047</c:v>
                </c:pt>
                <c:pt idx="398">
                  <c:v>-127999</c:v>
                </c:pt>
                <c:pt idx="399">
                  <c:v>-127903</c:v>
                </c:pt>
                <c:pt idx="400">
                  <c:v>-127471</c:v>
                </c:pt>
                <c:pt idx="401">
                  <c:v>-109303</c:v>
                </c:pt>
                <c:pt idx="402">
                  <c:v>-108909.00000000007</c:v>
                </c:pt>
                <c:pt idx="403">
                  <c:v>-108903.49999999993</c:v>
                </c:pt>
                <c:pt idx="404">
                  <c:v>-108897.66666666663</c:v>
                </c:pt>
                <c:pt idx="405">
                  <c:v>-108897.49999999993</c:v>
                </c:pt>
                <c:pt idx="406">
                  <c:v>-108871</c:v>
                </c:pt>
                <c:pt idx="407">
                  <c:v>-108848.25000000007</c:v>
                </c:pt>
                <c:pt idx="408">
                  <c:v>-108679.60000000003</c:v>
                </c:pt>
                <c:pt idx="409">
                  <c:v>-108656.16666666663</c:v>
                </c:pt>
                <c:pt idx="410">
                  <c:v>-69163</c:v>
                </c:pt>
                <c:pt idx="411">
                  <c:v>-57703</c:v>
                </c:pt>
                <c:pt idx="412">
                  <c:v>-57559</c:v>
                </c:pt>
                <c:pt idx="413">
                  <c:v>-57487</c:v>
                </c:pt>
                <c:pt idx="414">
                  <c:v>-57409</c:v>
                </c:pt>
                <c:pt idx="415">
                  <c:v>-57406</c:v>
                </c:pt>
                <c:pt idx="416">
                  <c:v>-57403</c:v>
                </c:pt>
                <c:pt idx="417">
                  <c:v>-57394.999999999935</c:v>
                </c:pt>
                <c:pt idx="418">
                  <c:v>-57319</c:v>
                </c:pt>
                <c:pt idx="419">
                  <c:v>-57228.499999999935</c:v>
                </c:pt>
                <c:pt idx="420">
                  <c:v>-57178</c:v>
                </c:pt>
                <c:pt idx="421">
                  <c:v>-4855</c:v>
                </c:pt>
                <c:pt idx="422">
                  <c:v>-1.1666666666666667</c:v>
                </c:pt>
                <c:pt idx="423">
                  <c:v>-6.6227383083767361E-11</c:v>
                </c:pt>
                <c:pt idx="424">
                  <c:v>2</c:v>
                </c:pt>
                <c:pt idx="425">
                  <c:v>32</c:v>
                </c:pt>
                <c:pt idx="426">
                  <c:v>89</c:v>
                </c:pt>
                <c:pt idx="427">
                  <c:v>113</c:v>
                </c:pt>
                <c:pt idx="428">
                  <c:v>155.99999999993378</c:v>
                </c:pt>
                <c:pt idx="429">
                  <c:v>209</c:v>
                </c:pt>
                <c:pt idx="430">
                  <c:v>-1721050</c:v>
                </c:pt>
                <c:pt idx="431">
                  <c:v>-34702</c:v>
                </c:pt>
                <c:pt idx="432">
                  <c:v>-33862</c:v>
                </c:pt>
                <c:pt idx="433">
                  <c:v>-33814</c:v>
                </c:pt>
                <c:pt idx="434">
                  <c:v>-2194</c:v>
                </c:pt>
                <c:pt idx="435">
                  <c:v>-1172</c:v>
                </c:pt>
                <c:pt idx="436">
                  <c:v>-1172</c:v>
                </c:pt>
                <c:pt idx="437">
                  <c:v>-1157</c:v>
                </c:pt>
                <c:pt idx="438">
                  <c:v>-310</c:v>
                </c:pt>
                <c:pt idx="439">
                  <c:v>-22</c:v>
                </c:pt>
                <c:pt idx="440">
                  <c:v>0</c:v>
                </c:pt>
                <c:pt idx="441">
                  <c:v>0</c:v>
                </c:pt>
                <c:pt idx="442">
                  <c:v>5</c:v>
                </c:pt>
                <c:pt idx="443">
                  <c:v>6</c:v>
                </c:pt>
                <c:pt idx="444">
                  <c:v>6</c:v>
                </c:pt>
                <c:pt idx="445">
                  <c:v>21</c:v>
                </c:pt>
                <c:pt idx="446">
                  <c:v>31</c:v>
                </c:pt>
                <c:pt idx="447">
                  <c:v>35</c:v>
                </c:pt>
                <c:pt idx="448">
                  <c:v>45</c:v>
                </c:pt>
                <c:pt idx="449">
                  <c:v>93</c:v>
                </c:pt>
                <c:pt idx="450">
                  <c:v>117</c:v>
                </c:pt>
                <c:pt idx="451">
                  <c:v>170</c:v>
                </c:pt>
                <c:pt idx="452">
                  <c:v>223</c:v>
                </c:pt>
                <c:pt idx="453">
                  <c:v>370</c:v>
                </c:pt>
                <c:pt idx="454">
                  <c:v>379</c:v>
                </c:pt>
                <c:pt idx="455">
                  <c:v>15149608</c:v>
                </c:pt>
                <c:pt idx="456">
                  <c:v>15212800</c:v>
                </c:pt>
                <c:pt idx="457">
                  <c:v>15274168</c:v>
                </c:pt>
                <c:pt idx="458">
                  <c:v>15478828</c:v>
                </c:pt>
                <c:pt idx="459">
                  <c:v>15478899</c:v>
                </c:pt>
                <c:pt idx="460">
                  <c:v>15491488</c:v>
                </c:pt>
                <c:pt idx="461">
                  <c:v>15498088</c:v>
                </c:pt>
                <c:pt idx="462">
                  <c:v>15512680</c:v>
                </c:pt>
                <c:pt idx="463">
                  <c:v>15531688</c:v>
                </c:pt>
                <c:pt idx="464">
                  <c:v>15572200</c:v>
                </c:pt>
                <c:pt idx="465">
                  <c:v>16185808</c:v>
                </c:pt>
                <c:pt idx="466">
                  <c:v>16529512</c:v>
                </c:pt>
                <c:pt idx="467">
                  <c:v>-4688</c:v>
                </c:pt>
                <c:pt idx="468">
                  <c:v>-64</c:v>
                </c:pt>
                <c:pt idx="469">
                  <c:v>-44</c:v>
                </c:pt>
                <c:pt idx="470">
                  <c:v>-20</c:v>
                </c:pt>
                <c:pt idx="471">
                  <c:v>0</c:v>
                </c:pt>
                <c:pt idx="472">
                  <c:v>0</c:v>
                </c:pt>
                <c:pt idx="473">
                  <c:v>1.1666666666666667</c:v>
                </c:pt>
                <c:pt idx="474">
                  <c:v>2</c:v>
                </c:pt>
                <c:pt idx="475">
                  <c:v>2.1666666666004395</c:v>
                </c:pt>
                <c:pt idx="476">
                  <c:v>6</c:v>
                </c:pt>
                <c:pt idx="477">
                  <c:v>6</c:v>
                </c:pt>
                <c:pt idx="478">
                  <c:v>7.5</c:v>
                </c:pt>
                <c:pt idx="479">
                  <c:v>10</c:v>
                </c:pt>
                <c:pt idx="480">
                  <c:v>10.483333333333333</c:v>
                </c:pt>
                <c:pt idx="481">
                  <c:v>11.5</c:v>
                </c:pt>
                <c:pt idx="482">
                  <c:v>14.5</c:v>
                </c:pt>
                <c:pt idx="483">
                  <c:v>32</c:v>
                </c:pt>
                <c:pt idx="484">
                  <c:v>36</c:v>
                </c:pt>
                <c:pt idx="485">
                  <c:v>36</c:v>
                </c:pt>
                <c:pt idx="486">
                  <c:v>52</c:v>
                </c:pt>
                <c:pt idx="487">
                  <c:v>74.5</c:v>
                </c:pt>
                <c:pt idx="488">
                  <c:v>74.75</c:v>
                </c:pt>
                <c:pt idx="489">
                  <c:v>76</c:v>
                </c:pt>
                <c:pt idx="490">
                  <c:v>83</c:v>
                </c:pt>
                <c:pt idx="491">
                  <c:v>83</c:v>
                </c:pt>
                <c:pt idx="492">
                  <c:v>116</c:v>
                </c:pt>
                <c:pt idx="493">
                  <c:v>148</c:v>
                </c:pt>
                <c:pt idx="494">
                  <c:v>196</c:v>
                </c:pt>
                <c:pt idx="495">
                  <c:v>220</c:v>
                </c:pt>
                <c:pt idx="496">
                  <c:v>226</c:v>
                </c:pt>
                <c:pt idx="497">
                  <c:v>292</c:v>
                </c:pt>
                <c:pt idx="498">
                  <c:v>316</c:v>
                </c:pt>
                <c:pt idx="499">
                  <c:v>414</c:v>
                </c:pt>
                <c:pt idx="500">
                  <c:v>1516</c:v>
                </c:pt>
                <c:pt idx="501">
                  <c:v>3712</c:v>
                </c:pt>
                <c:pt idx="502">
                  <c:v>8104</c:v>
                </c:pt>
                <c:pt idx="503">
                  <c:v>190000</c:v>
                </c:pt>
                <c:pt idx="504">
                  <c:v>211888</c:v>
                </c:pt>
                <c:pt idx="505">
                  <c:v>258280</c:v>
                </c:pt>
                <c:pt idx="506">
                  <c:v>280600</c:v>
                </c:pt>
                <c:pt idx="507">
                  <c:v>281860</c:v>
                </c:pt>
                <c:pt idx="508">
                  <c:v>354712</c:v>
                </c:pt>
                <c:pt idx="509">
                  <c:v>-1765947</c:v>
                </c:pt>
                <c:pt idx="510">
                  <c:v>-1692591</c:v>
                </c:pt>
                <c:pt idx="511">
                  <c:v>-1680195</c:v>
                </c:pt>
                <c:pt idx="512">
                  <c:v>-1649475</c:v>
                </c:pt>
                <c:pt idx="513">
                  <c:v>-1641435</c:v>
                </c:pt>
                <c:pt idx="514">
                  <c:v>-1641339</c:v>
                </c:pt>
                <c:pt idx="515">
                  <c:v>-1633011</c:v>
                </c:pt>
                <c:pt idx="516">
                  <c:v>-1608963</c:v>
                </c:pt>
                <c:pt idx="517">
                  <c:v>-1557087</c:v>
                </c:pt>
                <c:pt idx="518">
                  <c:v>-1528131</c:v>
                </c:pt>
                <c:pt idx="519">
                  <c:v>-1222395</c:v>
                </c:pt>
                <c:pt idx="520">
                  <c:v>-1211451</c:v>
                </c:pt>
                <c:pt idx="521">
                  <c:v>-1196139</c:v>
                </c:pt>
                <c:pt idx="522">
                  <c:v>-1186635</c:v>
                </c:pt>
                <c:pt idx="523">
                  <c:v>-1174251</c:v>
                </c:pt>
                <c:pt idx="524">
                  <c:v>-1167291</c:v>
                </c:pt>
                <c:pt idx="525">
                  <c:v>-1159803</c:v>
                </c:pt>
                <c:pt idx="526">
                  <c:v>-1151019</c:v>
                </c:pt>
                <c:pt idx="527">
                  <c:v>-1119291</c:v>
                </c:pt>
                <c:pt idx="528">
                  <c:v>-1110147</c:v>
                </c:pt>
                <c:pt idx="529">
                  <c:v>-1101747</c:v>
                </c:pt>
                <c:pt idx="530">
                  <c:v>-1095963</c:v>
                </c:pt>
                <c:pt idx="531">
                  <c:v>-1087203</c:v>
                </c:pt>
                <c:pt idx="532">
                  <c:v>-1081083</c:v>
                </c:pt>
                <c:pt idx="533">
                  <c:v>-1072323</c:v>
                </c:pt>
                <c:pt idx="534">
                  <c:v>-1000095</c:v>
                </c:pt>
                <c:pt idx="535">
                  <c:v>-772371</c:v>
                </c:pt>
                <c:pt idx="536">
                  <c:v>-703887</c:v>
                </c:pt>
                <c:pt idx="537">
                  <c:v>-672339</c:v>
                </c:pt>
                <c:pt idx="538">
                  <c:v>-653859</c:v>
                </c:pt>
                <c:pt idx="539">
                  <c:v>-642579</c:v>
                </c:pt>
                <c:pt idx="540">
                  <c:v>-634275</c:v>
                </c:pt>
                <c:pt idx="541">
                  <c:v>-614439</c:v>
                </c:pt>
                <c:pt idx="542">
                  <c:v>-577299</c:v>
                </c:pt>
                <c:pt idx="543">
                  <c:v>-568467</c:v>
                </c:pt>
                <c:pt idx="544">
                  <c:v>-562299</c:v>
                </c:pt>
                <c:pt idx="545">
                  <c:v>-553611</c:v>
                </c:pt>
                <c:pt idx="546">
                  <c:v>-544467</c:v>
                </c:pt>
                <c:pt idx="547">
                  <c:v>-532131</c:v>
                </c:pt>
                <c:pt idx="548">
                  <c:v>-525531</c:v>
                </c:pt>
                <c:pt idx="549">
                  <c:v>-479715</c:v>
                </c:pt>
                <c:pt idx="550">
                  <c:v>-471171</c:v>
                </c:pt>
                <c:pt idx="551">
                  <c:v>-447123</c:v>
                </c:pt>
                <c:pt idx="552">
                  <c:v>-438363</c:v>
                </c:pt>
                <c:pt idx="553">
                  <c:v>-271011</c:v>
                </c:pt>
                <c:pt idx="554">
                  <c:v>-254991</c:v>
                </c:pt>
                <c:pt idx="555">
                  <c:v>-60531</c:v>
                </c:pt>
                <c:pt idx="556">
                  <c:v>-53367</c:v>
                </c:pt>
                <c:pt idx="557">
                  <c:v>-2043</c:v>
                </c:pt>
                <c:pt idx="558">
                  <c:v>-2019</c:v>
                </c:pt>
                <c:pt idx="559">
                  <c:v>-917</c:v>
                </c:pt>
                <c:pt idx="560">
                  <c:v>-917</c:v>
                </c:pt>
                <c:pt idx="561">
                  <c:v>-355</c:v>
                </c:pt>
                <c:pt idx="562">
                  <c:v>-291</c:v>
                </c:pt>
                <c:pt idx="563">
                  <c:v>-147</c:v>
                </c:pt>
                <c:pt idx="564">
                  <c:v>-51</c:v>
                </c:pt>
                <c:pt idx="565">
                  <c:v>0</c:v>
                </c:pt>
                <c:pt idx="566">
                  <c:v>51</c:v>
                </c:pt>
                <c:pt idx="567">
                  <c:v>64</c:v>
                </c:pt>
                <c:pt idx="568">
                  <c:v>66</c:v>
                </c:pt>
                <c:pt idx="569">
                  <c:v>174597</c:v>
                </c:pt>
                <c:pt idx="570">
                  <c:v>177933</c:v>
                </c:pt>
                <c:pt idx="571">
                  <c:v>276765</c:v>
                </c:pt>
                <c:pt idx="572">
                  <c:v>709257</c:v>
                </c:pt>
                <c:pt idx="573">
                  <c:v>726777</c:v>
                </c:pt>
                <c:pt idx="574">
                  <c:v>736641</c:v>
                </c:pt>
                <c:pt idx="575">
                  <c:v>750513</c:v>
                </c:pt>
                <c:pt idx="576">
                  <c:v>805269</c:v>
                </c:pt>
                <c:pt idx="577">
                  <c:v>842853</c:v>
                </c:pt>
                <c:pt idx="578">
                  <c:v>932637</c:v>
                </c:pt>
                <c:pt idx="579">
                  <c:v>932934</c:v>
                </c:pt>
                <c:pt idx="580">
                  <c:v>970401</c:v>
                </c:pt>
                <c:pt idx="581">
                  <c:v>1013481</c:v>
                </c:pt>
                <c:pt idx="582">
                  <c:v>-15583731</c:v>
                </c:pt>
                <c:pt idx="583">
                  <c:v>-15579723</c:v>
                </c:pt>
                <c:pt idx="584">
                  <c:v>-15372195</c:v>
                </c:pt>
                <c:pt idx="585">
                  <c:v>-15317187</c:v>
                </c:pt>
                <c:pt idx="586">
                  <c:v>-15157059</c:v>
                </c:pt>
                <c:pt idx="587">
                  <c:v>-15061395</c:v>
                </c:pt>
                <c:pt idx="588">
                  <c:v>-14993931</c:v>
                </c:pt>
                <c:pt idx="589">
                  <c:v>-14922783</c:v>
                </c:pt>
                <c:pt idx="590">
                  <c:v>-14919111</c:v>
                </c:pt>
                <c:pt idx="591">
                  <c:v>-14915403</c:v>
                </c:pt>
                <c:pt idx="592">
                  <c:v>-14913036.583333334</c:v>
                </c:pt>
                <c:pt idx="593">
                  <c:v>-14909211</c:v>
                </c:pt>
                <c:pt idx="594">
                  <c:v>-14904709.016666668</c:v>
                </c:pt>
                <c:pt idx="595">
                  <c:v>-14841327</c:v>
                </c:pt>
                <c:pt idx="596">
                  <c:v>-14840859</c:v>
                </c:pt>
                <c:pt idx="597">
                  <c:v>-14730843</c:v>
                </c:pt>
                <c:pt idx="598">
                  <c:v>-14717091</c:v>
                </c:pt>
                <c:pt idx="599">
                  <c:v>-14716731</c:v>
                </c:pt>
                <c:pt idx="600">
                  <c:v>-14687125.15</c:v>
                </c:pt>
                <c:pt idx="601">
                  <c:v>-14687125.15</c:v>
                </c:pt>
                <c:pt idx="602">
                  <c:v>-14659899</c:v>
                </c:pt>
                <c:pt idx="603">
                  <c:v>-14622534.166666666</c:v>
                </c:pt>
                <c:pt idx="604">
                  <c:v>-153565</c:v>
                </c:pt>
                <c:pt idx="605">
                  <c:v>-97</c:v>
                </c:pt>
                <c:pt idx="606">
                  <c:v>3.3113691541883681E-11</c:v>
                </c:pt>
                <c:pt idx="607">
                  <c:v>6.999999999966886</c:v>
                </c:pt>
                <c:pt idx="608">
                  <c:v>12.999999999966887</c:v>
                </c:pt>
                <c:pt idx="609">
                  <c:v>17.499999999966885</c:v>
                </c:pt>
                <c:pt idx="610">
                  <c:v>18.999999999966885</c:v>
                </c:pt>
                <c:pt idx="611">
                  <c:v>20</c:v>
                </c:pt>
                <c:pt idx="612">
                  <c:v>813947</c:v>
                </c:pt>
                <c:pt idx="613">
                  <c:v>1085651</c:v>
                </c:pt>
                <c:pt idx="614">
                  <c:v>1252211</c:v>
                </c:pt>
                <c:pt idx="615">
                  <c:v>-1789149</c:v>
                </c:pt>
                <c:pt idx="616">
                  <c:v>-1781829</c:v>
                </c:pt>
                <c:pt idx="617">
                  <c:v>-26049</c:v>
                </c:pt>
                <c:pt idx="618">
                  <c:v>-2529</c:v>
                </c:pt>
                <c:pt idx="619">
                  <c:v>-2385</c:v>
                </c:pt>
                <c:pt idx="620">
                  <c:v>-2338.5833333333335</c:v>
                </c:pt>
                <c:pt idx="621">
                  <c:v>-2289</c:v>
                </c:pt>
                <c:pt idx="622">
                  <c:v>-2271</c:v>
                </c:pt>
                <c:pt idx="623">
                  <c:v>-2266.5</c:v>
                </c:pt>
                <c:pt idx="624">
                  <c:v>-2193</c:v>
                </c:pt>
                <c:pt idx="625">
                  <c:v>-2097</c:v>
                </c:pt>
                <c:pt idx="626">
                  <c:v>-2105</c:v>
                </c:pt>
                <c:pt idx="627">
                  <c:v>-1425</c:v>
                </c:pt>
                <c:pt idx="628">
                  <c:v>-1065</c:v>
                </c:pt>
                <c:pt idx="629">
                  <c:v>-273</c:v>
                </c:pt>
                <c:pt idx="630">
                  <c:v>-249</c:v>
                </c:pt>
                <c:pt idx="631">
                  <c:v>-81</c:v>
                </c:pt>
                <c:pt idx="632">
                  <c:v>0</c:v>
                </c:pt>
                <c:pt idx="633">
                  <c:v>70</c:v>
                </c:pt>
                <c:pt idx="634">
                  <c:v>85</c:v>
                </c:pt>
                <c:pt idx="635">
                  <c:v>89</c:v>
                </c:pt>
                <c:pt idx="636">
                  <c:v>89</c:v>
                </c:pt>
                <c:pt idx="637">
                  <c:v>90.566666666666663</c:v>
                </c:pt>
                <c:pt idx="638">
                  <c:v>90.61666666666666</c:v>
                </c:pt>
                <c:pt idx="639">
                  <c:v>106</c:v>
                </c:pt>
                <c:pt idx="640">
                  <c:v>108.1</c:v>
                </c:pt>
                <c:pt idx="641">
                  <c:v>108.96666666666667</c:v>
                </c:pt>
                <c:pt idx="642">
                  <c:v>112</c:v>
                </c:pt>
                <c:pt idx="643">
                  <c:v>113.5</c:v>
                </c:pt>
                <c:pt idx="644">
                  <c:v>124.5</c:v>
                </c:pt>
                <c:pt idx="645">
                  <c:v>135</c:v>
                </c:pt>
                <c:pt idx="646">
                  <c:v>124</c:v>
                </c:pt>
                <c:pt idx="647">
                  <c:v>162</c:v>
                </c:pt>
                <c:pt idx="648">
                  <c:v>183</c:v>
                </c:pt>
                <c:pt idx="649">
                  <c:v>-1269</c:v>
                </c:pt>
                <c:pt idx="650">
                  <c:v>-16270689</c:v>
                </c:pt>
                <c:pt idx="651">
                  <c:v>-16266297</c:v>
                </c:pt>
                <c:pt idx="652">
                  <c:v>-16233561</c:v>
                </c:pt>
                <c:pt idx="653">
                  <c:v>-16223529</c:v>
                </c:pt>
                <c:pt idx="654">
                  <c:v>-16204785</c:v>
                </c:pt>
                <c:pt idx="655">
                  <c:v>-16189233</c:v>
                </c:pt>
                <c:pt idx="656">
                  <c:v>-16182105</c:v>
                </c:pt>
                <c:pt idx="657">
                  <c:v>-16174137</c:v>
                </c:pt>
                <c:pt idx="658">
                  <c:v>-16151601</c:v>
                </c:pt>
                <c:pt idx="659">
                  <c:v>-16142817</c:v>
                </c:pt>
                <c:pt idx="660">
                  <c:v>-16130397</c:v>
                </c:pt>
                <c:pt idx="661">
                  <c:v>-16121613</c:v>
                </c:pt>
                <c:pt idx="662">
                  <c:v>-16112853</c:v>
                </c:pt>
                <c:pt idx="663">
                  <c:v>-16103505</c:v>
                </c:pt>
                <c:pt idx="664">
                  <c:v>-16099809</c:v>
                </c:pt>
                <c:pt idx="665">
                  <c:v>-16078977</c:v>
                </c:pt>
                <c:pt idx="666">
                  <c:v>-16068969</c:v>
                </c:pt>
                <c:pt idx="667">
                  <c:v>-16049049</c:v>
                </c:pt>
                <c:pt idx="668">
                  <c:v>-16045257</c:v>
                </c:pt>
                <c:pt idx="669">
                  <c:v>-16040745</c:v>
                </c:pt>
                <c:pt idx="670">
                  <c:v>-16028553</c:v>
                </c:pt>
                <c:pt idx="671">
                  <c:v>-15996657</c:v>
                </c:pt>
                <c:pt idx="672">
                  <c:v>-15986097</c:v>
                </c:pt>
                <c:pt idx="673">
                  <c:v>-15937497</c:v>
                </c:pt>
                <c:pt idx="674">
                  <c:v>-15902433</c:v>
                </c:pt>
                <c:pt idx="675">
                  <c:v>-15876657</c:v>
                </c:pt>
                <c:pt idx="676">
                  <c:v>-15852177</c:v>
                </c:pt>
                <c:pt idx="677">
                  <c:v>-15823353</c:v>
                </c:pt>
                <c:pt idx="678">
                  <c:v>-15814473</c:v>
                </c:pt>
                <c:pt idx="679">
                  <c:v>-15808617</c:v>
                </c:pt>
                <c:pt idx="680">
                  <c:v>-15798897</c:v>
                </c:pt>
                <c:pt idx="681">
                  <c:v>-15739209</c:v>
                </c:pt>
                <c:pt idx="682">
                  <c:v>-15697737</c:v>
                </c:pt>
                <c:pt idx="683">
                  <c:v>-15685809</c:v>
                </c:pt>
                <c:pt idx="684">
                  <c:v>-15665409</c:v>
                </c:pt>
                <c:pt idx="685">
                  <c:v>-15659577</c:v>
                </c:pt>
                <c:pt idx="686">
                  <c:v>-15642993</c:v>
                </c:pt>
                <c:pt idx="687">
                  <c:v>-15631497</c:v>
                </c:pt>
                <c:pt idx="688">
                  <c:v>-15621465</c:v>
                </c:pt>
                <c:pt idx="689">
                  <c:v>-15566625</c:v>
                </c:pt>
                <c:pt idx="690">
                  <c:v>-15554169</c:v>
                </c:pt>
                <c:pt idx="691">
                  <c:v>-15540273</c:v>
                </c:pt>
                <c:pt idx="692">
                  <c:v>-15533577</c:v>
                </c:pt>
                <c:pt idx="693">
                  <c:v>-15510201</c:v>
                </c:pt>
                <c:pt idx="694">
                  <c:v>-15484857</c:v>
                </c:pt>
                <c:pt idx="695">
                  <c:v>-7508.85</c:v>
                </c:pt>
                <c:pt idx="696">
                  <c:v>-2132.85</c:v>
                </c:pt>
                <c:pt idx="697">
                  <c:v>-1706.85</c:v>
                </c:pt>
                <c:pt idx="698">
                  <c:v>-1696.8500000000663</c:v>
                </c:pt>
                <c:pt idx="699">
                  <c:v>-1700.85</c:v>
                </c:pt>
                <c:pt idx="700">
                  <c:v>-1628.85</c:v>
                </c:pt>
                <c:pt idx="701">
                  <c:v>-716.85</c:v>
                </c:pt>
                <c:pt idx="702">
                  <c:v>-644.85</c:v>
                </c:pt>
                <c:pt idx="703">
                  <c:v>-548.85</c:v>
                </c:pt>
                <c:pt idx="704">
                  <c:v>-380.85</c:v>
                </c:pt>
                <c:pt idx="705">
                  <c:v>-380.85</c:v>
                </c:pt>
                <c:pt idx="706">
                  <c:v>-380.85</c:v>
                </c:pt>
                <c:pt idx="707">
                  <c:v>-308.85000000000002</c:v>
                </c:pt>
                <c:pt idx="708">
                  <c:v>-260.85000000000002</c:v>
                </c:pt>
                <c:pt idx="709">
                  <c:v>-116.85</c:v>
                </c:pt>
                <c:pt idx="710">
                  <c:v>-111.84999999993377</c:v>
                </c:pt>
                <c:pt idx="711">
                  <c:v>-44.85</c:v>
                </c:pt>
                <c:pt idx="712">
                  <c:v>-43.35</c:v>
                </c:pt>
                <c:pt idx="713">
                  <c:v>-5.16666666669978</c:v>
                </c:pt>
                <c:pt idx="714">
                  <c:v>3.3113691541883681E-11</c:v>
                </c:pt>
                <c:pt idx="715">
                  <c:v>3.15</c:v>
                </c:pt>
                <c:pt idx="716">
                  <c:v>14.016666666633553</c:v>
                </c:pt>
                <c:pt idx="717">
                  <c:v>23.833333333333332</c:v>
                </c:pt>
                <c:pt idx="718">
                  <c:v>38.483333333267105</c:v>
                </c:pt>
                <c:pt idx="719">
                  <c:v>52.300000000066227</c:v>
                </c:pt>
                <c:pt idx="720">
                  <c:v>53.150000000066228</c:v>
                </c:pt>
                <c:pt idx="721">
                  <c:v>54.416666666666664</c:v>
                </c:pt>
                <c:pt idx="722">
                  <c:v>58.033333333432672</c:v>
                </c:pt>
                <c:pt idx="723">
                  <c:v>62.483333333267105</c:v>
                </c:pt>
                <c:pt idx="724">
                  <c:v>64.400000000066228</c:v>
                </c:pt>
                <c:pt idx="725">
                  <c:v>69.0666666667329</c:v>
                </c:pt>
                <c:pt idx="726">
                  <c:v>71.3166666667329</c:v>
                </c:pt>
                <c:pt idx="727">
                  <c:v>73.599999999999994</c:v>
                </c:pt>
                <c:pt idx="728">
                  <c:v>74.4333333332671</c:v>
                </c:pt>
                <c:pt idx="729">
                  <c:v>76.849999999966883</c:v>
                </c:pt>
                <c:pt idx="730">
                  <c:v>78.150000000000006</c:v>
                </c:pt>
                <c:pt idx="731">
                  <c:v>78.8166666667329</c:v>
                </c:pt>
                <c:pt idx="732">
                  <c:v>79.650000000000006</c:v>
                </c:pt>
                <c:pt idx="733">
                  <c:v>80.150000000066228</c:v>
                </c:pt>
                <c:pt idx="734">
                  <c:v>80.150000000066228</c:v>
                </c:pt>
                <c:pt idx="735">
                  <c:v>85.65</c:v>
                </c:pt>
                <c:pt idx="736">
                  <c:v>99.15</c:v>
                </c:pt>
                <c:pt idx="737">
                  <c:v>555.15</c:v>
                </c:pt>
                <c:pt idx="738">
                  <c:v>651.15</c:v>
                </c:pt>
                <c:pt idx="739">
                  <c:v>1347.15</c:v>
                </c:pt>
                <c:pt idx="740">
                  <c:v>2715.15</c:v>
                </c:pt>
                <c:pt idx="741">
                  <c:v>9435.15</c:v>
                </c:pt>
                <c:pt idx="742">
                  <c:v>14763.15</c:v>
                </c:pt>
                <c:pt idx="743">
                  <c:v>13902722.833333334</c:v>
                </c:pt>
                <c:pt idx="744">
                  <c:v>13902794.833333334</c:v>
                </c:pt>
                <c:pt idx="745">
                  <c:v>13902794.833333334</c:v>
                </c:pt>
                <c:pt idx="746">
                  <c:v>13901678.833333334</c:v>
                </c:pt>
                <c:pt idx="747">
                  <c:v>14827082.833333334</c:v>
                </c:pt>
                <c:pt idx="748">
                  <c:v>15292730.833333334</c:v>
                </c:pt>
                <c:pt idx="749">
                  <c:v>15292802.833333334</c:v>
                </c:pt>
                <c:pt idx="750">
                  <c:v>15293066.833333334</c:v>
                </c:pt>
                <c:pt idx="751">
                  <c:v>15293066.833333334</c:v>
                </c:pt>
                <c:pt idx="752">
                  <c:v>15565298.833333334</c:v>
                </c:pt>
                <c:pt idx="753">
                  <c:v>15565538.833333334</c:v>
                </c:pt>
                <c:pt idx="754">
                  <c:v>15565538.833333334</c:v>
                </c:pt>
                <c:pt idx="755">
                  <c:v>15565850.833333334</c:v>
                </c:pt>
                <c:pt idx="756">
                  <c:v>-650697.16666666663</c:v>
                </c:pt>
                <c:pt idx="757">
                  <c:v>-587733.16666666663</c:v>
                </c:pt>
                <c:pt idx="758">
                  <c:v>-587637.16666666663</c:v>
                </c:pt>
                <c:pt idx="759">
                  <c:v>-294621.16666666669</c:v>
                </c:pt>
                <c:pt idx="760">
                  <c:v>-291993.16666666669</c:v>
                </c:pt>
                <c:pt idx="761">
                  <c:v>-290349.16666666669</c:v>
                </c:pt>
                <c:pt idx="762">
                  <c:v>-286857.16666666669</c:v>
                </c:pt>
                <c:pt idx="763">
                  <c:v>-29.666666666699779</c:v>
                </c:pt>
                <c:pt idx="764">
                  <c:v>1.655684577094184E-11</c:v>
                </c:pt>
                <c:pt idx="765">
                  <c:v>3.3333333374725445E-2</c:v>
                </c:pt>
                <c:pt idx="766">
                  <c:v>0.33333333330021964</c:v>
                </c:pt>
                <c:pt idx="767">
                  <c:v>0.49999999999172157</c:v>
                </c:pt>
                <c:pt idx="768">
                  <c:v>0.83333333336644699</c:v>
                </c:pt>
                <c:pt idx="769">
                  <c:v>0.99999999995860789</c:v>
                </c:pt>
                <c:pt idx="770">
                  <c:v>1.5000000000165568</c:v>
                </c:pt>
                <c:pt idx="771">
                  <c:v>1.5666666666418314</c:v>
                </c:pt>
                <c:pt idx="772">
                  <c:v>1.95</c:v>
                </c:pt>
                <c:pt idx="773">
                  <c:v>2.0333333333416119</c:v>
                </c:pt>
                <c:pt idx="774">
                  <c:v>2.0499999999751646</c:v>
                </c:pt>
                <c:pt idx="775">
                  <c:v>2.0833333333333335</c:v>
                </c:pt>
                <c:pt idx="776">
                  <c:v>2.3000000000082785</c:v>
                </c:pt>
                <c:pt idx="777">
                  <c:v>2.3666666666335532</c:v>
                </c:pt>
                <c:pt idx="778">
                  <c:v>2.4499999999751649</c:v>
                </c:pt>
                <c:pt idx="779">
                  <c:v>2.7666666666252744</c:v>
                </c:pt>
                <c:pt idx="780">
                  <c:v>3.6666666666749452</c:v>
                </c:pt>
                <c:pt idx="781">
                  <c:v>4.3499999999668866</c:v>
                </c:pt>
                <c:pt idx="782">
                  <c:v>7.1666666666501095</c:v>
                </c:pt>
                <c:pt idx="783">
                  <c:v>9.199999999975164</c:v>
                </c:pt>
                <c:pt idx="784">
                  <c:v>28.416666666674946</c:v>
                </c:pt>
                <c:pt idx="785">
                  <c:v>30.166666666708061</c:v>
                </c:pt>
                <c:pt idx="786">
                  <c:v>30.916666666708061</c:v>
                </c:pt>
                <c:pt idx="787">
                  <c:v>31.333333333333332</c:v>
                </c:pt>
                <c:pt idx="788">
                  <c:v>32.833333333333336</c:v>
                </c:pt>
                <c:pt idx="789">
                  <c:v>33.833333333366447</c:v>
                </c:pt>
                <c:pt idx="790">
                  <c:v>38.499999999958611</c:v>
                </c:pt>
                <c:pt idx="791">
                  <c:v>38.56666666666667</c:v>
                </c:pt>
                <c:pt idx="792">
                  <c:v>39.000000000016556</c:v>
                </c:pt>
                <c:pt idx="793">
                  <c:v>39.833333333366447</c:v>
                </c:pt>
                <c:pt idx="794">
                  <c:v>40.749999999958611</c:v>
                </c:pt>
                <c:pt idx="795">
                  <c:v>40.999999999991722</c:v>
                </c:pt>
                <c:pt idx="796">
                  <c:v>41.083333333333336</c:v>
                </c:pt>
                <c:pt idx="797">
                  <c:v>43.583333333366447</c:v>
                </c:pt>
                <c:pt idx="798">
                  <c:v>47.083333333333336</c:v>
                </c:pt>
                <c:pt idx="799">
                  <c:v>47.749999999991722</c:v>
                </c:pt>
                <c:pt idx="800">
                  <c:v>47.966666666666669</c:v>
                </c:pt>
                <c:pt idx="801">
                  <c:v>49.166666666650109</c:v>
                </c:pt>
                <c:pt idx="802">
                  <c:v>50.166666666674942</c:v>
                </c:pt>
                <c:pt idx="803">
                  <c:v>52.783333333316776</c:v>
                </c:pt>
                <c:pt idx="804">
                  <c:v>54.866666666633556</c:v>
                </c:pt>
                <c:pt idx="805">
                  <c:v>119.03333333334162</c:v>
                </c:pt>
                <c:pt idx="806">
                  <c:v>157.4500000000331</c:v>
                </c:pt>
                <c:pt idx="807">
                  <c:v>160.41666666667496</c:v>
                </c:pt>
                <c:pt idx="808">
                  <c:v>160.83333333330023</c:v>
                </c:pt>
                <c:pt idx="809">
                  <c:v>170.83333333333334</c:v>
                </c:pt>
                <c:pt idx="810">
                  <c:v>2426.8333333333335</c:v>
                </c:pt>
                <c:pt idx="811">
                  <c:v>3878.8333333333335</c:v>
                </c:pt>
                <c:pt idx="812">
                  <c:v>8222.8333333333339</c:v>
                </c:pt>
                <c:pt idx="813">
                  <c:v>10706.833333333334</c:v>
                </c:pt>
                <c:pt idx="814">
                  <c:v>198437.83333333334</c:v>
                </c:pt>
                <c:pt idx="815">
                  <c:v>198506.83333333334</c:v>
                </c:pt>
                <c:pt idx="816">
                  <c:v>198531.94999999995</c:v>
                </c:pt>
                <c:pt idx="817">
                  <c:v>198554.33333333326</c:v>
                </c:pt>
                <c:pt idx="818">
                  <c:v>198554.83333333334</c:v>
                </c:pt>
                <c:pt idx="819">
                  <c:v>330458.83333333331</c:v>
                </c:pt>
                <c:pt idx="820">
                  <c:v>15299556</c:v>
                </c:pt>
                <c:pt idx="821">
                  <c:v>15410952</c:v>
                </c:pt>
                <c:pt idx="822">
                  <c:v>15606348</c:v>
                </c:pt>
                <c:pt idx="823">
                  <c:v>-478932</c:v>
                </c:pt>
                <c:pt idx="824">
                  <c:v>-417588</c:v>
                </c:pt>
                <c:pt idx="825">
                  <c:v>-400044</c:v>
                </c:pt>
                <c:pt idx="826">
                  <c:v>-48</c:v>
                </c:pt>
                <c:pt idx="827">
                  <c:v>0</c:v>
                </c:pt>
                <c:pt idx="828">
                  <c:v>24</c:v>
                </c:pt>
                <c:pt idx="829">
                  <c:v>641.50000000003308</c:v>
                </c:pt>
                <c:pt idx="830">
                  <c:v>645</c:v>
                </c:pt>
                <c:pt idx="831">
                  <c:v>648</c:v>
                </c:pt>
                <c:pt idx="832">
                  <c:v>1968</c:v>
                </c:pt>
                <c:pt idx="833">
                  <c:v>2088</c:v>
                </c:pt>
                <c:pt idx="834">
                  <c:v>2112</c:v>
                </c:pt>
                <c:pt idx="835">
                  <c:v>2448</c:v>
                </c:pt>
                <c:pt idx="836">
                  <c:v>432732</c:v>
                </c:pt>
              </c:numCache>
            </c:numRef>
          </c:xVal>
          <c:yVal>
            <c:numRef>
              <c:f>Descrete!$P$2:$P$1086</c:f>
              <c:numCache>
                <c:formatCode>General</c:formatCode>
                <c:ptCount val="1085"/>
                <c:pt idx="0">
                  <c:v>1</c:v>
                </c:pt>
                <c:pt idx="1">
                  <c:v>2</c:v>
                </c:pt>
                <c:pt idx="2">
                  <c:v>2</c:v>
                </c:pt>
                <c:pt idx="3">
                  <c:v>2</c:v>
                </c:pt>
                <c:pt idx="4">
                  <c:v>4</c:v>
                </c:pt>
                <c:pt idx="5">
                  <c:v>6</c:v>
                </c:pt>
                <c:pt idx="6">
                  <c:v>4</c:v>
                </c:pt>
                <c:pt idx="7">
                  <c:v>2</c:v>
                </c:pt>
                <c:pt idx="8">
                  <c:v>7</c:v>
                </c:pt>
                <c:pt idx="9">
                  <c:v>2</c:v>
                </c:pt>
                <c:pt idx="10">
                  <c:v>0</c:v>
                </c:pt>
                <c:pt idx="11">
                  <c:v>6</c:v>
                </c:pt>
                <c:pt idx="12">
                  <c:v>2</c:v>
                </c:pt>
                <c:pt idx="13">
                  <c:v>2</c:v>
                </c:pt>
                <c:pt idx="14">
                  <c:v>0</c:v>
                </c:pt>
                <c:pt idx="15">
                  <c:v>5</c:v>
                </c:pt>
                <c:pt idx="16">
                  <c:v>5</c:v>
                </c:pt>
                <c:pt idx="17">
                  <c:v>2</c:v>
                </c:pt>
                <c:pt idx="18">
                  <c:v>2</c:v>
                </c:pt>
                <c:pt idx="19">
                  <c:v>4</c:v>
                </c:pt>
                <c:pt idx="20">
                  <c:v>4</c:v>
                </c:pt>
                <c:pt idx="21">
                  <c:v>4</c:v>
                </c:pt>
                <c:pt idx="22">
                  <c:v>4</c:v>
                </c:pt>
                <c:pt idx="23">
                  <c:v>4</c:v>
                </c:pt>
                <c:pt idx="24">
                  <c:v>5</c:v>
                </c:pt>
                <c:pt idx="25">
                  <c:v>4</c:v>
                </c:pt>
                <c:pt idx="26">
                  <c:v>4</c:v>
                </c:pt>
                <c:pt idx="27">
                  <c:v>-1</c:v>
                </c:pt>
                <c:pt idx="28">
                  <c:v>-1</c:v>
                </c:pt>
                <c:pt idx="29">
                  <c:v>5</c:v>
                </c:pt>
                <c:pt idx="30">
                  <c:v>3</c:v>
                </c:pt>
                <c:pt idx="31">
                  <c:v>4</c:v>
                </c:pt>
                <c:pt idx="32">
                  <c:v>1</c:v>
                </c:pt>
                <c:pt idx="33">
                  <c:v>1</c:v>
                </c:pt>
                <c:pt idx="34">
                  <c:v>1</c:v>
                </c:pt>
                <c:pt idx="35">
                  <c:v>1</c:v>
                </c:pt>
                <c:pt idx="36">
                  <c:v>1</c:v>
                </c:pt>
                <c:pt idx="37">
                  <c:v>-1</c:v>
                </c:pt>
                <c:pt idx="38">
                  <c:v>1</c:v>
                </c:pt>
                <c:pt idx="39">
                  <c:v>2</c:v>
                </c:pt>
                <c:pt idx="40">
                  <c:v>0</c:v>
                </c:pt>
                <c:pt idx="41">
                  <c:v>2</c:v>
                </c:pt>
                <c:pt idx="42">
                  <c:v>0</c:v>
                </c:pt>
                <c:pt idx="43">
                  <c:v>2</c:v>
                </c:pt>
                <c:pt idx="44">
                  <c:v>5</c:v>
                </c:pt>
                <c:pt idx="45">
                  <c:v>5</c:v>
                </c:pt>
                <c:pt idx="46">
                  <c:v>4</c:v>
                </c:pt>
                <c:pt idx="47">
                  <c:v>2</c:v>
                </c:pt>
                <c:pt idx="48">
                  <c:v>4</c:v>
                </c:pt>
                <c:pt idx="49">
                  <c:v>2</c:v>
                </c:pt>
                <c:pt idx="50">
                  <c:v>3</c:v>
                </c:pt>
                <c:pt idx="51">
                  <c:v>3</c:v>
                </c:pt>
                <c:pt idx="52">
                  <c:v>0</c:v>
                </c:pt>
                <c:pt idx="53">
                  <c:v>4</c:v>
                </c:pt>
                <c:pt idx="54">
                  <c:v>1</c:v>
                </c:pt>
                <c:pt idx="55">
                  <c:v>1</c:v>
                </c:pt>
                <c:pt idx="56">
                  <c:v>1</c:v>
                </c:pt>
                <c:pt idx="57">
                  <c:v>1</c:v>
                </c:pt>
                <c:pt idx="58">
                  <c:v>1</c:v>
                </c:pt>
                <c:pt idx="59">
                  <c:v>1</c:v>
                </c:pt>
                <c:pt idx="60">
                  <c:v>1</c:v>
                </c:pt>
                <c:pt idx="61">
                  <c:v>1</c:v>
                </c:pt>
                <c:pt idx="62">
                  <c:v>2</c:v>
                </c:pt>
                <c:pt idx="63">
                  <c:v>2</c:v>
                </c:pt>
                <c:pt idx="64">
                  <c:v>2</c:v>
                </c:pt>
                <c:pt idx="65">
                  <c:v>1</c:v>
                </c:pt>
                <c:pt idx="66">
                  <c:v>2</c:v>
                </c:pt>
                <c:pt idx="67">
                  <c:v>1</c:v>
                </c:pt>
                <c:pt idx="68">
                  <c:v>0</c:v>
                </c:pt>
                <c:pt idx="69">
                  <c:v>2</c:v>
                </c:pt>
                <c:pt idx="70">
                  <c:v>4</c:v>
                </c:pt>
                <c:pt idx="71">
                  <c:v>6</c:v>
                </c:pt>
                <c:pt idx="72">
                  <c:v>1</c:v>
                </c:pt>
                <c:pt idx="73">
                  <c:v>6</c:v>
                </c:pt>
                <c:pt idx="74">
                  <c:v>4</c:v>
                </c:pt>
                <c:pt idx="75">
                  <c:v>4</c:v>
                </c:pt>
                <c:pt idx="76">
                  <c:v>0</c:v>
                </c:pt>
                <c:pt idx="77">
                  <c:v>2</c:v>
                </c:pt>
                <c:pt idx="78">
                  <c:v>2</c:v>
                </c:pt>
                <c:pt idx="79">
                  <c:v>4</c:v>
                </c:pt>
                <c:pt idx="80">
                  <c:v>4</c:v>
                </c:pt>
                <c:pt idx="81">
                  <c:v>2</c:v>
                </c:pt>
                <c:pt idx="82">
                  <c:v>2</c:v>
                </c:pt>
                <c:pt idx="83">
                  <c:v>4</c:v>
                </c:pt>
                <c:pt idx="84">
                  <c:v>1</c:v>
                </c:pt>
                <c:pt idx="85">
                  <c:v>2</c:v>
                </c:pt>
                <c:pt idx="86">
                  <c:v>1</c:v>
                </c:pt>
                <c:pt idx="87">
                  <c:v>4</c:v>
                </c:pt>
                <c:pt idx="88">
                  <c:v>4</c:v>
                </c:pt>
                <c:pt idx="89">
                  <c:v>2</c:v>
                </c:pt>
                <c:pt idx="90">
                  <c:v>5</c:v>
                </c:pt>
                <c:pt idx="91">
                  <c:v>2</c:v>
                </c:pt>
                <c:pt idx="92">
                  <c:v>0</c:v>
                </c:pt>
                <c:pt idx="93">
                  <c:v>2</c:v>
                </c:pt>
                <c:pt idx="94">
                  <c:v>5</c:v>
                </c:pt>
                <c:pt idx="95">
                  <c:v>0</c:v>
                </c:pt>
                <c:pt idx="96">
                  <c:v>2</c:v>
                </c:pt>
                <c:pt idx="97">
                  <c:v>4</c:v>
                </c:pt>
                <c:pt idx="98">
                  <c:v>2</c:v>
                </c:pt>
                <c:pt idx="99">
                  <c:v>4</c:v>
                </c:pt>
                <c:pt idx="100">
                  <c:v>6</c:v>
                </c:pt>
                <c:pt idx="101">
                  <c:v>4</c:v>
                </c:pt>
                <c:pt idx="102">
                  <c:v>4</c:v>
                </c:pt>
                <c:pt idx="103">
                  <c:v>6</c:v>
                </c:pt>
                <c:pt idx="104">
                  <c:v>4</c:v>
                </c:pt>
                <c:pt idx="105">
                  <c:v>2</c:v>
                </c:pt>
                <c:pt idx="106">
                  <c:v>6</c:v>
                </c:pt>
                <c:pt idx="107">
                  <c:v>4</c:v>
                </c:pt>
                <c:pt idx="108">
                  <c:v>2</c:v>
                </c:pt>
                <c:pt idx="109">
                  <c:v>6</c:v>
                </c:pt>
                <c:pt idx="110">
                  <c:v>0</c:v>
                </c:pt>
                <c:pt idx="111">
                  <c:v>1</c:v>
                </c:pt>
                <c:pt idx="112">
                  <c:v>4</c:v>
                </c:pt>
                <c:pt idx="113">
                  <c:v>4</c:v>
                </c:pt>
                <c:pt idx="114">
                  <c:v>4</c:v>
                </c:pt>
                <c:pt idx="115">
                  <c:v>4</c:v>
                </c:pt>
                <c:pt idx="116">
                  <c:v>4</c:v>
                </c:pt>
                <c:pt idx="117">
                  <c:v>5</c:v>
                </c:pt>
                <c:pt idx="118">
                  <c:v>5</c:v>
                </c:pt>
                <c:pt idx="119">
                  <c:v>4</c:v>
                </c:pt>
                <c:pt idx="120">
                  <c:v>4</c:v>
                </c:pt>
                <c:pt idx="121">
                  <c:v>4</c:v>
                </c:pt>
                <c:pt idx="122">
                  <c:v>4</c:v>
                </c:pt>
                <c:pt idx="123">
                  <c:v>4</c:v>
                </c:pt>
                <c:pt idx="124">
                  <c:v>6</c:v>
                </c:pt>
                <c:pt idx="125">
                  <c:v>4</c:v>
                </c:pt>
                <c:pt idx="126">
                  <c:v>5</c:v>
                </c:pt>
                <c:pt idx="127">
                  <c:v>4</c:v>
                </c:pt>
                <c:pt idx="128">
                  <c:v>5</c:v>
                </c:pt>
                <c:pt idx="129">
                  <c:v>4</c:v>
                </c:pt>
                <c:pt idx="130">
                  <c:v>4</c:v>
                </c:pt>
                <c:pt idx="131">
                  <c:v>4</c:v>
                </c:pt>
                <c:pt idx="132">
                  <c:v>4</c:v>
                </c:pt>
                <c:pt idx="133">
                  <c:v>4</c:v>
                </c:pt>
                <c:pt idx="134">
                  <c:v>5</c:v>
                </c:pt>
                <c:pt idx="135">
                  <c:v>4</c:v>
                </c:pt>
                <c:pt idx="136">
                  <c:v>6</c:v>
                </c:pt>
                <c:pt idx="137">
                  <c:v>4</c:v>
                </c:pt>
                <c:pt idx="138">
                  <c:v>4</c:v>
                </c:pt>
                <c:pt idx="139">
                  <c:v>4</c:v>
                </c:pt>
                <c:pt idx="140">
                  <c:v>5</c:v>
                </c:pt>
                <c:pt idx="141">
                  <c:v>4</c:v>
                </c:pt>
                <c:pt idx="142">
                  <c:v>5</c:v>
                </c:pt>
                <c:pt idx="143">
                  <c:v>3</c:v>
                </c:pt>
                <c:pt idx="144">
                  <c:v>4</c:v>
                </c:pt>
                <c:pt idx="145">
                  <c:v>0</c:v>
                </c:pt>
                <c:pt idx="146">
                  <c:v>6</c:v>
                </c:pt>
                <c:pt idx="147">
                  <c:v>4</c:v>
                </c:pt>
                <c:pt idx="148">
                  <c:v>4</c:v>
                </c:pt>
                <c:pt idx="149">
                  <c:v>5</c:v>
                </c:pt>
                <c:pt idx="150">
                  <c:v>4</c:v>
                </c:pt>
                <c:pt idx="151">
                  <c:v>4</c:v>
                </c:pt>
                <c:pt idx="152">
                  <c:v>4</c:v>
                </c:pt>
                <c:pt idx="153">
                  <c:v>4</c:v>
                </c:pt>
                <c:pt idx="154">
                  <c:v>4</c:v>
                </c:pt>
                <c:pt idx="155">
                  <c:v>4</c:v>
                </c:pt>
                <c:pt idx="156">
                  <c:v>4</c:v>
                </c:pt>
                <c:pt idx="157">
                  <c:v>4</c:v>
                </c:pt>
                <c:pt idx="158">
                  <c:v>4</c:v>
                </c:pt>
                <c:pt idx="159">
                  <c:v>4</c:v>
                </c:pt>
                <c:pt idx="160">
                  <c:v>4</c:v>
                </c:pt>
                <c:pt idx="161">
                  <c:v>4</c:v>
                </c:pt>
                <c:pt idx="162">
                  <c:v>5</c:v>
                </c:pt>
                <c:pt idx="163">
                  <c:v>4</c:v>
                </c:pt>
                <c:pt idx="164">
                  <c:v>4</c:v>
                </c:pt>
                <c:pt idx="165">
                  <c:v>3</c:v>
                </c:pt>
                <c:pt idx="166">
                  <c:v>3</c:v>
                </c:pt>
                <c:pt idx="167">
                  <c:v>4</c:v>
                </c:pt>
                <c:pt idx="168">
                  <c:v>-1</c:v>
                </c:pt>
                <c:pt idx="169">
                  <c:v>4</c:v>
                </c:pt>
                <c:pt idx="170">
                  <c:v>2</c:v>
                </c:pt>
                <c:pt idx="171">
                  <c:v>3</c:v>
                </c:pt>
                <c:pt idx="172">
                  <c:v>-1</c:v>
                </c:pt>
                <c:pt idx="173">
                  <c:v>4</c:v>
                </c:pt>
                <c:pt idx="174">
                  <c:v>4</c:v>
                </c:pt>
                <c:pt idx="175">
                  <c:v>4</c:v>
                </c:pt>
                <c:pt idx="176">
                  <c:v>2</c:v>
                </c:pt>
                <c:pt idx="177">
                  <c:v>3</c:v>
                </c:pt>
                <c:pt idx="178">
                  <c:v>2</c:v>
                </c:pt>
                <c:pt idx="179">
                  <c:v>6</c:v>
                </c:pt>
                <c:pt idx="180">
                  <c:v>5</c:v>
                </c:pt>
                <c:pt idx="181">
                  <c:v>4</c:v>
                </c:pt>
                <c:pt idx="182">
                  <c:v>5</c:v>
                </c:pt>
                <c:pt idx="183">
                  <c:v>5</c:v>
                </c:pt>
                <c:pt idx="184">
                  <c:v>6</c:v>
                </c:pt>
                <c:pt idx="185">
                  <c:v>6</c:v>
                </c:pt>
                <c:pt idx="186">
                  <c:v>5</c:v>
                </c:pt>
                <c:pt idx="187">
                  <c:v>6</c:v>
                </c:pt>
                <c:pt idx="188">
                  <c:v>4</c:v>
                </c:pt>
                <c:pt idx="189">
                  <c:v>4</c:v>
                </c:pt>
                <c:pt idx="190">
                  <c:v>2</c:v>
                </c:pt>
                <c:pt idx="191">
                  <c:v>-1</c:v>
                </c:pt>
                <c:pt idx="192">
                  <c:v>-1</c:v>
                </c:pt>
                <c:pt idx="193">
                  <c:v>1</c:v>
                </c:pt>
                <c:pt idx="194">
                  <c:v>4</c:v>
                </c:pt>
                <c:pt idx="195">
                  <c:v>4</c:v>
                </c:pt>
                <c:pt idx="196">
                  <c:v>5</c:v>
                </c:pt>
                <c:pt idx="197">
                  <c:v>4</c:v>
                </c:pt>
                <c:pt idx="198">
                  <c:v>4</c:v>
                </c:pt>
                <c:pt idx="199">
                  <c:v>4</c:v>
                </c:pt>
                <c:pt idx="200">
                  <c:v>4</c:v>
                </c:pt>
                <c:pt idx="201">
                  <c:v>5</c:v>
                </c:pt>
                <c:pt idx="202">
                  <c:v>5</c:v>
                </c:pt>
                <c:pt idx="203">
                  <c:v>4</c:v>
                </c:pt>
                <c:pt idx="204">
                  <c:v>4</c:v>
                </c:pt>
                <c:pt idx="205">
                  <c:v>-1</c:v>
                </c:pt>
                <c:pt idx="206">
                  <c:v>5</c:v>
                </c:pt>
                <c:pt idx="207">
                  <c:v>4</c:v>
                </c:pt>
                <c:pt idx="208">
                  <c:v>2</c:v>
                </c:pt>
                <c:pt idx="209">
                  <c:v>1</c:v>
                </c:pt>
                <c:pt idx="210">
                  <c:v>2</c:v>
                </c:pt>
                <c:pt idx="211">
                  <c:v>6</c:v>
                </c:pt>
                <c:pt idx="212">
                  <c:v>2</c:v>
                </c:pt>
                <c:pt idx="213">
                  <c:v>6</c:v>
                </c:pt>
                <c:pt idx="214">
                  <c:v>3</c:v>
                </c:pt>
                <c:pt idx="215">
                  <c:v>4</c:v>
                </c:pt>
                <c:pt idx="216">
                  <c:v>1</c:v>
                </c:pt>
                <c:pt idx="217">
                  <c:v>2</c:v>
                </c:pt>
                <c:pt idx="218">
                  <c:v>4</c:v>
                </c:pt>
                <c:pt idx="219">
                  <c:v>3</c:v>
                </c:pt>
                <c:pt idx="220">
                  <c:v>2</c:v>
                </c:pt>
                <c:pt idx="221">
                  <c:v>6</c:v>
                </c:pt>
                <c:pt idx="222">
                  <c:v>4</c:v>
                </c:pt>
                <c:pt idx="223">
                  <c:v>4</c:v>
                </c:pt>
                <c:pt idx="224">
                  <c:v>4</c:v>
                </c:pt>
                <c:pt idx="225">
                  <c:v>4</c:v>
                </c:pt>
                <c:pt idx="226">
                  <c:v>4</c:v>
                </c:pt>
                <c:pt idx="227">
                  <c:v>4</c:v>
                </c:pt>
                <c:pt idx="228">
                  <c:v>4</c:v>
                </c:pt>
                <c:pt idx="229">
                  <c:v>4</c:v>
                </c:pt>
                <c:pt idx="230">
                  <c:v>4</c:v>
                </c:pt>
                <c:pt idx="231">
                  <c:v>4</c:v>
                </c:pt>
                <c:pt idx="232">
                  <c:v>4</c:v>
                </c:pt>
                <c:pt idx="233">
                  <c:v>4</c:v>
                </c:pt>
                <c:pt idx="234">
                  <c:v>4</c:v>
                </c:pt>
                <c:pt idx="235">
                  <c:v>4</c:v>
                </c:pt>
                <c:pt idx="236">
                  <c:v>4</c:v>
                </c:pt>
                <c:pt idx="237">
                  <c:v>4</c:v>
                </c:pt>
                <c:pt idx="238">
                  <c:v>4</c:v>
                </c:pt>
                <c:pt idx="239">
                  <c:v>4</c:v>
                </c:pt>
                <c:pt idx="240">
                  <c:v>4</c:v>
                </c:pt>
                <c:pt idx="241">
                  <c:v>4</c:v>
                </c:pt>
                <c:pt idx="242">
                  <c:v>4</c:v>
                </c:pt>
                <c:pt idx="243">
                  <c:v>4</c:v>
                </c:pt>
                <c:pt idx="244">
                  <c:v>4</c:v>
                </c:pt>
                <c:pt idx="245">
                  <c:v>4</c:v>
                </c:pt>
                <c:pt idx="246">
                  <c:v>4</c:v>
                </c:pt>
                <c:pt idx="247">
                  <c:v>4</c:v>
                </c:pt>
                <c:pt idx="248">
                  <c:v>4</c:v>
                </c:pt>
                <c:pt idx="249">
                  <c:v>4</c:v>
                </c:pt>
                <c:pt idx="250">
                  <c:v>4</c:v>
                </c:pt>
                <c:pt idx="251">
                  <c:v>4</c:v>
                </c:pt>
                <c:pt idx="252">
                  <c:v>4</c:v>
                </c:pt>
                <c:pt idx="253">
                  <c:v>4</c:v>
                </c:pt>
                <c:pt idx="254">
                  <c:v>4</c:v>
                </c:pt>
                <c:pt idx="255">
                  <c:v>4</c:v>
                </c:pt>
                <c:pt idx="256">
                  <c:v>4</c:v>
                </c:pt>
                <c:pt idx="257">
                  <c:v>4</c:v>
                </c:pt>
                <c:pt idx="258">
                  <c:v>4</c:v>
                </c:pt>
                <c:pt idx="259">
                  <c:v>4</c:v>
                </c:pt>
                <c:pt idx="260">
                  <c:v>4</c:v>
                </c:pt>
                <c:pt idx="261">
                  <c:v>4</c:v>
                </c:pt>
                <c:pt idx="262">
                  <c:v>4</c:v>
                </c:pt>
                <c:pt idx="263">
                  <c:v>4</c:v>
                </c:pt>
                <c:pt idx="264">
                  <c:v>4</c:v>
                </c:pt>
                <c:pt idx="265">
                  <c:v>4</c:v>
                </c:pt>
                <c:pt idx="266">
                  <c:v>4</c:v>
                </c:pt>
                <c:pt idx="267">
                  <c:v>4</c:v>
                </c:pt>
                <c:pt idx="268">
                  <c:v>4</c:v>
                </c:pt>
                <c:pt idx="269">
                  <c:v>4</c:v>
                </c:pt>
                <c:pt idx="270">
                  <c:v>4</c:v>
                </c:pt>
                <c:pt idx="271">
                  <c:v>4</c:v>
                </c:pt>
                <c:pt idx="272">
                  <c:v>4</c:v>
                </c:pt>
                <c:pt idx="273">
                  <c:v>6</c:v>
                </c:pt>
                <c:pt idx="274">
                  <c:v>4</c:v>
                </c:pt>
                <c:pt idx="275">
                  <c:v>3</c:v>
                </c:pt>
                <c:pt idx="276">
                  <c:v>4</c:v>
                </c:pt>
                <c:pt idx="277">
                  <c:v>3</c:v>
                </c:pt>
                <c:pt idx="278">
                  <c:v>4</c:v>
                </c:pt>
                <c:pt idx="279">
                  <c:v>2</c:v>
                </c:pt>
                <c:pt idx="280">
                  <c:v>3</c:v>
                </c:pt>
                <c:pt idx="281">
                  <c:v>4</c:v>
                </c:pt>
                <c:pt idx="282">
                  <c:v>2</c:v>
                </c:pt>
                <c:pt idx="283">
                  <c:v>2</c:v>
                </c:pt>
                <c:pt idx="284">
                  <c:v>1</c:v>
                </c:pt>
                <c:pt idx="285">
                  <c:v>2</c:v>
                </c:pt>
                <c:pt idx="286">
                  <c:v>2</c:v>
                </c:pt>
                <c:pt idx="287">
                  <c:v>3</c:v>
                </c:pt>
                <c:pt idx="288">
                  <c:v>2</c:v>
                </c:pt>
                <c:pt idx="289">
                  <c:v>4</c:v>
                </c:pt>
                <c:pt idx="290">
                  <c:v>6</c:v>
                </c:pt>
                <c:pt idx="291">
                  <c:v>4</c:v>
                </c:pt>
                <c:pt idx="292">
                  <c:v>2</c:v>
                </c:pt>
                <c:pt idx="293">
                  <c:v>4</c:v>
                </c:pt>
                <c:pt idx="294">
                  <c:v>5</c:v>
                </c:pt>
                <c:pt idx="295">
                  <c:v>5</c:v>
                </c:pt>
                <c:pt idx="296">
                  <c:v>5</c:v>
                </c:pt>
                <c:pt idx="297">
                  <c:v>4</c:v>
                </c:pt>
                <c:pt idx="298">
                  <c:v>5</c:v>
                </c:pt>
                <c:pt idx="299">
                  <c:v>6</c:v>
                </c:pt>
                <c:pt idx="300">
                  <c:v>4</c:v>
                </c:pt>
                <c:pt idx="301">
                  <c:v>4</c:v>
                </c:pt>
                <c:pt idx="302">
                  <c:v>5</c:v>
                </c:pt>
                <c:pt idx="303">
                  <c:v>3</c:v>
                </c:pt>
                <c:pt idx="304">
                  <c:v>3</c:v>
                </c:pt>
                <c:pt idx="305">
                  <c:v>1</c:v>
                </c:pt>
                <c:pt idx="306">
                  <c:v>2</c:v>
                </c:pt>
                <c:pt idx="307">
                  <c:v>4</c:v>
                </c:pt>
                <c:pt idx="308">
                  <c:v>5</c:v>
                </c:pt>
                <c:pt idx="309">
                  <c:v>3</c:v>
                </c:pt>
                <c:pt idx="310">
                  <c:v>3</c:v>
                </c:pt>
                <c:pt idx="311">
                  <c:v>2</c:v>
                </c:pt>
                <c:pt idx="312">
                  <c:v>1</c:v>
                </c:pt>
                <c:pt idx="313">
                  <c:v>4</c:v>
                </c:pt>
                <c:pt idx="314">
                  <c:v>5</c:v>
                </c:pt>
                <c:pt idx="315">
                  <c:v>3</c:v>
                </c:pt>
                <c:pt idx="316">
                  <c:v>2</c:v>
                </c:pt>
                <c:pt idx="317">
                  <c:v>3</c:v>
                </c:pt>
                <c:pt idx="318">
                  <c:v>2</c:v>
                </c:pt>
                <c:pt idx="319">
                  <c:v>2</c:v>
                </c:pt>
                <c:pt idx="320">
                  <c:v>2</c:v>
                </c:pt>
                <c:pt idx="321">
                  <c:v>2</c:v>
                </c:pt>
                <c:pt idx="322">
                  <c:v>2</c:v>
                </c:pt>
                <c:pt idx="323">
                  <c:v>4</c:v>
                </c:pt>
                <c:pt idx="324">
                  <c:v>2</c:v>
                </c:pt>
                <c:pt idx="325">
                  <c:v>5</c:v>
                </c:pt>
                <c:pt idx="326">
                  <c:v>3</c:v>
                </c:pt>
                <c:pt idx="327">
                  <c:v>3</c:v>
                </c:pt>
                <c:pt idx="328">
                  <c:v>3</c:v>
                </c:pt>
                <c:pt idx="329">
                  <c:v>4</c:v>
                </c:pt>
                <c:pt idx="330">
                  <c:v>5</c:v>
                </c:pt>
                <c:pt idx="331">
                  <c:v>6</c:v>
                </c:pt>
                <c:pt idx="332">
                  <c:v>4</c:v>
                </c:pt>
                <c:pt idx="333">
                  <c:v>3</c:v>
                </c:pt>
                <c:pt idx="334">
                  <c:v>4</c:v>
                </c:pt>
                <c:pt idx="335">
                  <c:v>4</c:v>
                </c:pt>
                <c:pt idx="336">
                  <c:v>2</c:v>
                </c:pt>
                <c:pt idx="337">
                  <c:v>3</c:v>
                </c:pt>
                <c:pt idx="338">
                  <c:v>4</c:v>
                </c:pt>
                <c:pt idx="339">
                  <c:v>3</c:v>
                </c:pt>
                <c:pt idx="340">
                  <c:v>3</c:v>
                </c:pt>
                <c:pt idx="341">
                  <c:v>3</c:v>
                </c:pt>
                <c:pt idx="342">
                  <c:v>3</c:v>
                </c:pt>
                <c:pt idx="343">
                  <c:v>4</c:v>
                </c:pt>
                <c:pt idx="344">
                  <c:v>4</c:v>
                </c:pt>
                <c:pt idx="345">
                  <c:v>4</c:v>
                </c:pt>
                <c:pt idx="346">
                  <c:v>4</c:v>
                </c:pt>
                <c:pt idx="347">
                  <c:v>4</c:v>
                </c:pt>
                <c:pt idx="348">
                  <c:v>4</c:v>
                </c:pt>
                <c:pt idx="349">
                  <c:v>4</c:v>
                </c:pt>
                <c:pt idx="350">
                  <c:v>3</c:v>
                </c:pt>
                <c:pt idx="351">
                  <c:v>5</c:v>
                </c:pt>
                <c:pt idx="352">
                  <c:v>4</c:v>
                </c:pt>
                <c:pt idx="353">
                  <c:v>4</c:v>
                </c:pt>
                <c:pt idx="354">
                  <c:v>4</c:v>
                </c:pt>
                <c:pt idx="355">
                  <c:v>4</c:v>
                </c:pt>
                <c:pt idx="356">
                  <c:v>4</c:v>
                </c:pt>
                <c:pt idx="357">
                  <c:v>4</c:v>
                </c:pt>
                <c:pt idx="358">
                  <c:v>3</c:v>
                </c:pt>
                <c:pt idx="359">
                  <c:v>4</c:v>
                </c:pt>
                <c:pt idx="360">
                  <c:v>3</c:v>
                </c:pt>
                <c:pt idx="361">
                  <c:v>3</c:v>
                </c:pt>
                <c:pt idx="362">
                  <c:v>3</c:v>
                </c:pt>
                <c:pt idx="363">
                  <c:v>3</c:v>
                </c:pt>
                <c:pt idx="364">
                  <c:v>3</c:v>
                </c:pt>
                <c:pt idx="365">
                  <c:v>3</c:v>
                </c:pt>
                <c:pt idx="366">
                  <c:v>3</c:v>
                </c:pt>
                <c:pt idx="367">
                  <c:v>3</c:v>
                </c:pt>
                <c:pt idx="368">
                  <c:v>2</c:v>
                </c:pt>
                <c:pt idx="369">
                  <c:v>2</c:v>
                </c:pt>
                <c:pt idx="370">
                  <c:v>2</c:v>
                </c:pt>
                <c:pt idx="371">
                  <c:v>2</c:v>
                </c:pt>
                <c:pt idx="372">
                  <c:v>3</c:v>
                </c:pt>
                <c:pt idx="373">
                  <c:v>4</c:v>
                </c:pt>
                <c:pt idx="374">
                  <c:v>3</c:v>
                </c:pt>
                <c:pt idx="375">
                  <c:v>3</c:v>
                </c:pt>
                <c:pt idx="376">
                  <c:v>4</c:v>
                </c:pt>
                <c:pt idx="377">
                  <c:v>4</c:v>
                </c:pt>
                <c:pt idx="378">
                  <c:v>4</c:v>
                </c:pt>
                <c:pt idx="379">
                  <c:v>3</c:v>
                </c:pt>
                <c:pt idx="380">
                  <c:v>1</c:v>
                </c:pt>
                <c:pt idx="381">
                  <c:v>2</c:v>
                </c:pt>
                <c:pt idx="382">
                  <c:v>2</c:v>
                </c:pt>
                <c:pt idx="383">
                  <c:v>2</c:v>
                </c:pt>
                <c:pt idx="384">
                  <c:v>2</c:v>
                </c:pt>
                <c:pt idx="385">
                  <c:v>2</c:v>
                </c:pt>
                <c:pt idx="386">
                  <c:v>3</c:v>
                </c:pt>
                <c:pt idx="387">
                  <c:v>3</c:v>
                </c:pt>
                <c:pt idx="388">
                  <c:v>2</c:v>
                </c:pt>
                <c:pt idx="389">
                  <c:v>4</c:v>
                </c:pt>
                <c:pt idx="390">
                  <c:v>4</c:v>
                </c:pt>
                <c:pt idx="391">
                  <c:v>2</c:v>
                </c:pt>
                <c:pt idx="392">
                  <c:v>4</c:v>
                </c:pt>
                <c:pt idx="393">
                  <c:v>4</c:v>
                </c:pt>
                <c:pt idx="394">
                  <c:v>4</c:v>
                </c:pt>
                <c:pt idx="395">
                  <c:v>4</c:v>
                </c:pt>
                <c:pt idx="396">
                  <c:v>4</c:v>
                </c:pt>
                <c:pt idx="397">
                  <c:v>3</c:v>
                </c:pt>
                <c:pt idx="398">
                  <c:v>0</c:v>
                </c:pt>
                <c:pt idx="399">
                  <c:v>1</c:v>
                </c:pt>
                <c:pt idx="400">
                  <c:v>2</c:v>
                </c:pt>
                <c:pt idx="401">
                  <c:v>1</c:v>
                </c:pt>
                <c:pt idx="402">
                  <c:v>2</c:v>
                </c:pt>
                <c:pt idx="403">
                  <c:v>2</c:v>
                </c:pt>
                <c:pt idx="404">
                  <c:v>4</c:v>
                </c:pt>
                <c:pt idx="405">
                  <c:v>4</c:v>
                </c:pt>
                <c:pt idx="406">
                  <c:v>4</c:v>
                </c:pt>
                <c:pt idx="407">
                  <c:v>4</c:v>
                </c:pt>
                <c:pt idx="408">
                  <c:v>3</c:v>
                </c:pt>
                <c:pt idx="409">
                  <c:v>2</c:v>
                </c:pt>
                <c:pt idx="410">
                  <c:v>1</c:v>
                </c:pt>
                <c:pt idx="411">
                  <c:v>1</c:v>
                </c:pt>
                <c:pt idx="412">
                  <c:v>2</c:v>
                </c:pt>
                <c:pt idx="413">
                  <c:v>2</c:v>
                </c:pt>
                <c:pt idx="414">
                  <c:v>2</c:v>
                </c:pt>
                <c:pt idx="415">
                  <c:v>4</c:v>
                </c:pt>
                <c:pt idx="416">
                  <c:v>4</c:v>
                </c:pt>
                <c:pt idx="417">
                  <c:v>4</c:v>
                </c:pt>
                <c:pt idx="418">
                  <c:v>3</c:v>
                </c:pt>
                <c:pt idx="419">
                  <c:v>2</c:v>
                </c:pt>
                <c:pt idx="420">
                  <c:v>2</c:v>
                </c:pt>
                <c:pt idx="421">
                  <c:v>2</c:v>
                </c:pt>
                <c:pt idx="422">
                  <c:v>2</c:v>
                </c:pt>
                <c:pt idx="423">
                  <c:v>4</c:v>
                </c:pt>
                <c:pt idx="424">
                  <c:v>6</c:v>
                </c:pt>
                <c:pt idx="425">
                  <c:v>4</c:v>
                </c:pt>
                <c:pt idx="426">
                  <c:v>4</c:v>
                </c:pt>
                <c:pt idx="427">
                  <c:v>4</c:v>
                </c:pt>
                <c:pt idx="428">
                  <c:v>0</c:v>
                </c:pt>
                <c:pt idx="429">
                  <c:v>0</c:v>
                </c:pt>
                <c:pt idx="430">
                  <c:v>4</c:v>
                </c:pt>
                <c:pt idx="431">
                  <c:v>-1</c:v>
                </c:pt>
                <c:pt idx="432">
                  <c:v>2</c:v>
                </c:pt>
                <c:pt idx="433">
                  <c:v>2</c:v>
                </c:pt>
                <c:pt idx="434">
                  <c:v>1</c:v>
                </c:pt>
                <c:pt idx="435">
                  <c:v>-1</c:v>
                </c:pt>
                <c:pt idx="436">
                  <c:v>1</c:v>
                </c:pt>
                <c:pt idx="437">
                  <c:v>-1</c:v>
                </c:pt>
                <c:pt idx="438">
                  <c:v>2</c:v>
                </c:pt>
                <c:pt idx="439">
                  <c:v>2</c:v>
                </c:pt>
                <c:pt idx="440">
                  <c:v>4</c:v>
                </c:pt>
                <c:pt idx="441">
                  <c:v>2</c:v>
                </c:pt>
                <c:pt idx="442">
                  <c:v>5</c:v>
                </c:pt>
                <c:pt idx="443">
                  <c:v>3</c:v>
                </c:pt>
                <c:pt idx="444">
                  <c:v>4</c:v>
                </c:pt>
                <c:pt idx="445">
                  <c:v>3</c:v>
                </c:pt>
                <c:pt idx="446">
                  <c:v>-1</c:v>
                </c:pt>
                <c:pt idx="447">
                  <c:v>2</c:v>
                </c:pt>
                <c:pt idx="448">
                  <c:v>3</c:v>
                </c:pt>
                <c:pt idx="449">
                  <c:v>3</c:v>
                </c:pt>
                <c:pt idx="450">
                  <c:v>3</c:v>
                </c:pt>
                <c:pt idx="451">
                  <c:v>3</c:v>
                </c:pt>
                <c:pt idx="452">
                  <c:v>5</c:v>
                </c:pt>
                <c:pt idx="453">
                  <c:v>4</c:v>
                </c:pt>
                <c:pt idx="454">
                  <c:v>4</c:v>
                </c:pt>
                <c:pt idx="455">
                  <c:v>4</c:v>
                </c:pt>
                <c:pt idx="456">
                  <c:v>4</c:v>
                </c:pt>
                <c:pt idx="457">
                  <c:v>4</c:v>
                </c:pt>
                <c:pt idx="458">
                  <c:v>2</c:v>
                </c:pt>
                <c:pt idx="459">
                  <c:v>6</c:v>
                </c:pt>
                <c:pt idx="460">
                  <c:v>4</c:v>
                </c:pt>
                <c:pt idx="461">
                  <c:v>4</c:v>
                </c:pt>
                <c:pt idx="462">
                  <c:v>4</c:v>
                </c:pt>
                <c:pt idx="463">
                  <c:v>4</c:v>
                </c:pt>
                <c:pt idx="464">
                  <c:v>4</c:v>
                </c:pt>
                <c:pt idx="465">
                  <c:v>4</c:v>
                </c:pt>
                <c:pt idx="466">
                  <c:v>4</c:v>
                </c:pt>
                <c:pt idx="467">
                  <c:v>1</c:v>
                </c:pt>
                <c:pt idx="468">
                  <c:v>2</c:v>
                </c:pt>
                <c:pt idx="469">
                  <c:v>2</c:v>
                </c:pt>
                <c:pt idx="470">
                  <c:v>2</c:v>
                </c:pt>
                <c:pt idx="471">
                  <c:v>4</c:v>
                </c:pt>
                <c:pt idx="472">
                  <c:v>2</c:v>
                </c:pt>
                <c:pt idx="473">
                  <c:v>4</c:v>
                </c:pt>
                <c:pt idx="474">
                  <c:v>5</c:v>
                </c:pt>
                <c:pt idx="475">
                  <c:v>5</c:v>
                </c:pt>
                <c:pt idx="476">
                  <c:v>4</c:v>
                </c:pt>
                <c:pt idx="477">
                  <c:v>3</c:v>
                </c:pt>
                <c:pt idx="478">
                  <c:v>4</c:v>
                </c:pt>
                <c:pt idx="479">
                  <c:v>3</c:v>
                </c:pt>
                <c:pt idx="480">
                  <c:v>2</c:v>
                </c:pt>
                <c:pt idx="481">
                  <c:v>2</c:v>
                </c:pt>
                <c:pt idx="482">
                  <c:v>6</c:v>
                </c:pt>
                <c:pt idx="483">
                  <c:v>4</c:v>
                </c:pt>
                <c:pt idx="484">
                  <c:v>4</c:v>
                </c:pt>
                <c:pt idx="485">
                  <c:v>3</c:v>
                </c:pt>
                <c:pt idx="486">
                  <c:v>4</c:v>
                </c:pt>
                <c:pt idx="487">
                  <c:v>4</c:v>
                </c:pt>
                <c:pt idx="488">
                  <c:v>4</c:v>
                </c:pt>
                <c:pt idx="489">
                  <c:v>4</c:v>
                </c:pt>
                <c:pt idx="490">
                  <c:v>3</c:v>
                </c:pt>
                <c:pt idx="491">
                  <c:v>3</c:v>
                </c:pt>
                <c:pt idx="492">
                  <c:v>5</c:v>
                </c:pt>
                <c:pt idx="493">
                  <c:v>4</c:v>
                </c:pt>
                <c:pt idx="494">
                  <c:v>4</c:v>
                </c:pt>
                <c:pt idx="495">
                  <c:v>5</c:v>
                </c:pt>
                <c:pt idx="496">
                  <c:v>4</c:v>
                </c:pt>
                <c:pt idx="497">
                  <c:v>3</c:v>
                </c:pt>
                <c:pt idx="498">
                  <c:v>4</c:v>
                </c:pt>
                <c:pt idx="499">
                  <c:v>-1</c:v>
                </c:pt>
                <c:pt idx="500">
                  <c:v>2</c:v>
                </c:pt>
                <c:pt idx="501">
                  <c:v>3</c:v>
                </c:pt>
                <c:pt idx="502">
                  <c:v>2</c:v>
                </c:pt>
                <c:pt idx="503">
                  <c:v>4</c:v>
                </c:pt>
                <c:pt idx="504">
                  <c:v>4</c:v>
                </c:pt>
                <c:pt idx="505">
                  <c:v>3</c:v>
                </c:pt>
                <c:pt idx="506">
                  <c:v>4</c:v>
                </c:pt>
                <c:pt idx="507">
                  <c:v>3</c:v>
                </c:pt>
                <c:pt idx="508">
                  <c:v>4</c:v>
                </c:pt>
                <c:pt idx="509">
                  <c:v>4</c:v>
                </c:pt>
                <c:pt idx="510">
                  <c:v>4</c:v>
                </c:pt>
                <c:pt idx="511">
                  <c:v>4</c:v>
                </c:pt>
                <c:pt idx="512">
                  <c:v>4</c:v>
                </c:pt>
                <c:pt idx="513">
                  <c:v>4</c:v>
                </c:pt>
                <c:pt idx="514">
                  <c:v>5</c:v>
                </c:pt>
                <c:pt idx="515">
                  <c:v>4</c:v>
                </c:pt>
                <c:pt idx="516">
                  <c:v>4</c:v>
                </c:pt>
                <c:pt idx="517">
                  <c:v>4</c:v>
                </c:pt>
                <c:pt idx="518">
                  <c:v>4</c:v>
                </c:pt>
                <c:pt idx="519">
                  <c:v>4</c:v>
                </c:pt>
                <c:pt idx="520">
                  <c:v>4</c:v>
                </c:pt>
                <c:pt idx="521">
                  <c:v>4</c:v>
                </c:pt>
                <c:pt idx="522">
                  <c:v>4</c:v>
                </c:pt>
                <c:pt idx="523">
                  <c:v>4</c:v>
                </c:pt>
                <c:pt idx="524">
                  <c:v>4</c:v>
                </c:pt>
                <c:pt idx="525">
                  <c:v>4</c:v>
                </c:pt>
                <c:pt idx="526">
                  <c:v>4</c:v>
                </c:pt>
                <c:pt idx="527">
                  <c:v>4</c:v>
                </c:pt>
                <c:pt idx="528">
                  <c:v>4</c:v>
                </c:pt>
                <c:pt idx="529">
                  <c:v>4</c:v>
                </c:pt>
                <c:pt idx="530">
                  <c:v>4</c:v>
                </c:pt>
                <c:pt idx="531">
                  <c:v>4</c:v>
                </c:pt>
                <c:pt idx="532">
                  <c:v>4</c:v>
                </c:pt>
                <c:pt idx="533">
                  <c:v>4</c:v>
                </c:pt>
                <c:pt idx="534">
                  <c:v>4</c:v>
                </c:pt>
                <c:pt idx="535">
                  <c:v>4</c:v>
                </c:pt>
                <c:pt idx="536">
                  <c:v>4</c:v>
                </c:pt>
                <c:pt idx="537">
                  <c:v>4</c:v>
                </c:pt>
                <c:pt idx="538">
                  <c:v>5</c:v>
                </c:pt>
                <c:pt idx="539">
                  <c:v>4</c:v>
                </c:pt>
                <c:pt idx="540">
                  <c:v>4</c:v>
                </c:pt>
                <c:pt idx="541">
                  <c:v>4</c:v>
                </c:pt>
                <c:pt idx="542">
                  <c:v>4</c:v>
                </c:pt>
                <c:pt idx="543">
                  <c:v>4</c:v>
                </c:pt>
                <c:pt idx="544">
                  <c:v>4</c:v>
                </c:pt>
                <c:pt idx="545">
                  <c:v>4</c:v>
                </c:pt>
                <c:pt idx="546">
                  <c:v>4</c:v>
                </c:pt>
                <c:pt idx="547">
                  <c:v>4</c:v>
                </c:pt>
                <c:pt idx="548">
                  <c:v>4</c:v>
                </c:pt>
                <c:pt idx="549">
                  <c:v>4</c:v>
                </c:pt>
                <c:pt idx="550">
                  <c:v>4</c:v>
                </c:pt>
                <c:pt idx="551">
                  <c:v>4</c:v>
                </c:pt>
                <c:pt idx="552">
                  <c:v>4</c:v>
                </c:pt>
                <c:pt idx="553">
                  <c:v>4</c:v>
                </c:pt>
                <c:pt idx="554">
                  <c:v>4</c:v>
                </c:pt>
                <c:pt idx="555">
                  <c:v>4</c:v>
                </c:pt>
                <c:pt idx="556">
                  <c:v>4</c:v>
                </c:pt>
                <c:pt idx="557">
                  <c:v>4</c:v>
                </c:pt>
                <c:pt idx="558">
                  <c:v>0</c:v>
                </c:pt>
                <c:pt idx="559">
                  <c:v>5</c:v>
                </c:pt>
                <c:pt idx="560">
                  <c:v>3</c:v>
                </c:pt>
                <c:pt idx="561">
                  <c:v>5</c:v>
                </c:pt>
                <c:pt idx="562">
                  <c:v>4</c:v>
                </c:pt>
                <c:pt idx="563">
                  <c:v>5</c:v>
                </c:pt>
                <c:pt idx="564">
                  <c:v>2</c:v>
                </c:pt>
                <c:pt idx="565">
                  <c:v>5</c:v>
                </c:pt>
                <c:pt idx="566">
                  <c:v>6</c:v>
                </c:pt>
                <c:pt idx="567">
                  <c:v>3</c:v>
                </c:pt>
                <c:pt idx="568">
                  <c:v>6</c:v>
                </c:pt>
                <c:pt idx="569">
                  <c:v>4</c:v>
                </c:pt>
                <c:pt idx="570">
                  <c:v>5</c:v>
                </c:pt>
                <c:pt idx="571">
                  <c:v>4</c:v>
                </c:pt>
                <c:pt idx="572">
                  <c:v>2</c:v>
                </c:pt>
                <c:pt idx="573">
                  <c:v>2</c:v>
                </c:pt>
                <c:pt idx="574">
                  <c:v>4</c:v>
                </c:pt>
                <c:pt idx="575">
                  <c:v>4</c:v>
                </c:pt>
                <c:pt idx="576">
                  <c:v>4</c:v>
                </c:pt>
                <c:pt idx="577">
                  <c:v>4</c:v>
                </c:pt>
                <c:pt idx="578">
                  <c:v>4</c:v>
                </c:pt>
                <c:pt idx="579">
                  <c:v>2</c:v>
                </c:pt>
                <c:pt idx="580">
                  <c:v>4</c:v>
                </c:pt>
                <c:pt idx="581">
                  <c:v>4</c:v>
                </c:pt>
                <c:pt idx="582">
                  <c:v>2</c:v>
                </c:pt>
                <c:pt idx="583">
                  <c:v>2</c:v>
                </c:pt>
                <c:pt idx="584">
                  <c:v>5</c:v>
                </c:pt>
                <c:pt idx="585">
                  <c:v>5</c:v>
                </c:pt>
                <c:pt idx="586">
                  <c:v>5</c:v>
                </c:pt>
                <c:pt idx="587">
                  <c:v>3</c:v>
                </c:pt>
                <c:pt idx="588">
                  <c:v>4</c:v>
                </c:pt>
                <c:pt idx="589">
                  <c:v>2</c:v>
                </c:pt>
                <c:pt idx="590">
                  <c:v>2</c:v>
                </c:pt>
                <c:pt idx="591">
                  <c:v>2</c:v>
                </c:pt>
                <c:pt idx="592">
                  <c:v>5</c:v>
                </c:pt>
                <c:pt idx="593">
                  <c:v>3</c:v>
                </c:pt>
                <c:pt idx="594">
                  <c:v>5</c:v>
                </c:pt>
                <c:pt idx="595">
                  <c:v>1</c:v>
                </c:pt>
                <c:pt idx="596">
                  <c:v>4</c:v>
                </c:pt>
                <c:pt idx="597">
                  <c:v>4</c:v>
                </c:pt>
                <c:pt idx="598">
                  <c:v>4</c:v>
                </c:pt>
                <c:pt idx="599">
                  <c:v>5</c:v>
                </c:pt>
                <c:pt idx="600">
                  <c:v>4</c:v>
                </c:pt>
                <c:pt idx="601">
                  <c:v>5</c:v>
                </c:pt>
                <c:pt idx="602">
                  <c:v>2</c:v>
                </c:pt>
                <c:pt idx="603">
                  <c:v>3</c:v>
                </c:pt>
                <c:pt idx="604">
                  <c:v>-1</c:v>
                </c:pt>
                <c:pt idx="605">
                  <c:v>2</c:v>
                </c:pt>
                <c:pt idx="606">
                  <c:v>6</c:v>
                </c:pt>
                <c:pt idx="607">
                  <c:v>6</c:v>
                </c:pt>
                <c:pt idx="608">
                  <c:v>6</c:v>
                </c:pt>
                <c:pt idx="609">
                  <c:v>2</c:v>
                </c:pt>
                <c:pt idx="610">
                  <c:v>6</c:v>
                </c:pt>
                <c:pt idx="611">
                  <c:v>4</c:v>
                </c:pt>
                <c:pt idx="612">
                  <c:v>5</c:v>
                </c:pt>
                <c:pt idx="613">
                  <c:v>5</c:v>
                </c:pt>
                <c:pt idx="614">
                  <c:v>4</c:v>
                </c:pt>
                <c:pt idx="615">
                  <c:v>0</c:v>
                </c:pt>
                <c:pt idx="616">
                  <c:v>5</c:v>
                </c:pt>
                <c:pt idx="617">
                  <c:v>-1</c:v>
                </c:pt>
                <c:pt idx="618">
                  <c:v>2</c:v>
                </c:pt>
                <c:pt idx="619">
                  <c:v>2</c:v>
                </c:pt>
                <c:pt idx="620">
                  <c:v>2</c:v>
                </c:pt>
                <c:pt idx="621">
                  <c:v>3</c:v>
                </c:pt>
                <c:pt idx="622">
                  <c:v>5</c:v>
                </c:pt>
                <c:pt idx="623">
                  <c:v>6</c:v>
                </c:pt>
                <c:pt idx="624">
                  <c:v>4</c:v>
                </c:pt>
                <c:pt idx="625">
                  <c:v>3</c:v>
                </c:pt>
                <c:pt idx="626">
                  <c:v>2</c:v>
                </c:pt>
                <c:pt idx="627">
                  <c:v>4</c:v>
                </c:pt>
                <c:pt idx="628">
                  <c:v>5</c:v>
                </c:pt>
                <c:pt idx="629">
                  <c:v>3</c:v>
                </c:pt>
                <c:pt idx="630">
                  <c:v>3</c:v>
                </c:pt>
                <c:pt idx="631">
                  <c:v>0</c:v>
                </c:pt>
                <c:pt idx="632">
                  <c:v>5</c:v>
                </c:pt>
                <c:pt idx="633">
                  <c:v>5</c:v>
                </c:pt>
                <c:pt idx="634">
                  <c:v>4</c:v>
                </c:pt>
                <c:pt idx="635">
                  <c:v>6</c:v>
                </c:pt>
                <c:pt idx="636">
                  <c:v>6</c:v>
                </c:pt>
                <c:pt idx="637">
                  <c:v>2</c:v>
                </c:pt>
                <c:pt idx="638">
                  <c:v>2</c:v>
                </c:pt>
                <c:pt idx="639">
                  <c:v>7</c:v>
                </c:pt>
                <c:pt idx="640">
                  <c:v>2</c:v>
                </c:pt>
                <c:pt idx="641">
                  <c:v>4</c:v>
                </c:pt>
                <c:pt idx="642">
                  <c:v>4</c:v>
                </c:pt>
                <c:pt idx="643">
                  <c:v>3</c:v>
                </c:pt>
                <c:pt idx="644">
                  <c:v>2</c:v>
                </c:pt>
                <c:pt idx="645">
                  <c:v>0</c:v>
                </c:pt>
                <c:pt idx="646">
                  <c:v>2</c:v>
                </c:pt>
                <c:pt idx="647">
                  <c:v>0</c:v>
                </c:pt>
                <c:pt idx="648">
                  <c:v>0</c:v>
                </c:pt>
                <c:pt idx="649">
                  <c:v>3</c:v>
                </c:pt>
                <c:pt idx="650">
                  <c:v>3</c:v>
                </c:pt>
                <c:pt idx="651">
                  <c:v>4</c:v>
                </c:pt>
                <c:pt idx="652">
                  <c:v>4</c:v>
                </c:pt>
                <c:pt idx="653">
                  <c:v>4</c:v>
                </c:pt>
                <c:pt idx="654">
                  <c:v>4</c:v>
                </c:pt>
                <c:pt idx="655">
                  <c:v>4</c:v>
                </c:pt>
                <c:pt idx="656">
                  <c:v>4</c:v>
                </c:pt>
                <c:pt idx="657">
                  <c:v>4</c:v>
                </c:pt>
                <c:pt idx="658">
                  <c:v>4</c:v>
                </c:pt>
                <c:pt idx="659">
                  <c:v>4</c:v>
                </c:pt>
                <c:pt idx="660">
                  <c:v>4</c:v>
                </c:pt>
                <c:pt idx="661">
                  <c:v>4</c:v>
                </c:pt>
                <c:pt idx="662">
                  <c:v>4</c:v>
                </c:pt>
                <c:pt idx="663">
                  <c:v>4</c:v>
                </c:pt>
                <c:pt idx="664">
                  <c:v>4</c:v>
                </c:pt>
                <c:pt idx="665">
                  <c:v>4</c:v>
                </c:pt>
                <c:pt idx="666">
                  <c:v>4</c:v>
                </c:pt>
                <c:pt idx="667">
                  <c:v>4</c:v>
                </c:pt>
                <c:pt idx="668">
                  <c:v>4</c:v>
                </c:pt>
                <c:pt idx="669">
                  <c:v>4</c:v>
                </c:pt>
                <c:pt idx="670">
                  <c:v>4</c:v>
                </c:pt>
                <c:pt idx="671">
                  <c:v>4</c:v>
                </c:pt>
                <c:pt idx="672">
                  <c:v>4</c:v>
                </c:pt>
                <c:pt idx="673">
                  <c:v>4</c:v>
                </c:pt>
                <c:pt idx="674">
                  <c:v>4</c:v>
                </c:pt>
                <c:pt idx="675">
                  <c:v>4</c:v>
                </c:pt>
                <c:pt idx="676">
                  <c:v>4</c:v>
                </c:pt>
                <c:pt idx="677">
                  <c:v>4</c:v>
                </c:pt>
                <c:pt idx="678">
                  <c:v>4</c:v>
                </c:pt>
                <c:pt idx="679">
                  <c:v>4</c:v>
                </c:pt>
                <c:pt idx="680">
                  <c:v>4</c:v>
                </c:pt>
                <c:pt idx="681">
                  <c:v>4</c:v>
                </c:pt>
                <c:pt idx="682">
                  <c:v>4</c:v>
                </c:pt>
                <c:pt idx="683">
                  <c:v>4</c:v>
                </c:pt>
                <c:pt idx="684">
                  <c:v>4</c:v>
                </c:pt>
                <c:pt idx="685">
                  <c:v>4</c:v>
                </c:pt>
                <c:pt idx="686">
                  <c:v>4</c:v>
                </c:pt>
                <c:pt idx="687">
                  <c:v>4</c:v>
                </c:pt>
                <c:pt idx="688">
                  <c:v>4</c:v>
                </c:pt>
                <c:pt idx="689">
                  <c:v>4</c:v>
                </c:pt>
                <c:pt idx="690">
                  <c:v>4</c:v>
                </c:pt>
                <c:pt idx="691">
                  <c:v>4</c:v>
                </c:pt>
                <c:pt idx="692">
                  <c:v>4</c:v>
                </c:pt>
                <c:pt idx="693">
                  <c:v>4</c:v>
                </c:pt>
                <c:pt idx="694">
                  <c:v>4</c:v>
                </c:pt>
                <c:pt idx="695">
                  <c:v>3</c:v>
                </c:pt>
                <c:pt idx="696">
                  <c:v>1</c:v>
                </c:pt>
                <c:pt idx="697">
                  <c:v>2</c:v>
                </c:pt>
                <c:pt idx="698">
                  <c:v>4</c:v>
                </c:pt>
                <c:pt idx="699">
                  <c:v>3</c:v>
                </c:pt>
                <c:pt idx="700">
                  <c:v>3</c:v>
                </c:pt>
                <c:pt idx="701">
                  <c:v>1</c:v>
                </c:pt>
                <c:pt idx="702">
                  <c:v>3</c:v>
                </c:pt>
                <c:pt idx="703">
                  <c:v>2</c:v>
                </c:pt>
                <c:pt idx="704">
                  <c:v>2</c:v>
                </c:pt>
                <c:pt idx="705">
                  <c:v>2</c:v>
                </c:pt>
                <c:pt idx="706">
                  <c:v>4</c:v>
                </c:pt>
                <c:pt idx="707">
                  <c:v>2</c:v>
                </c:pt>
                <c:pt idx="708">
                  <c:v>4</c:v>
                </c:pt>
                <c:pt idx="709">
                  <c:v>5</c:v>
                </c:pt>
                <c:pt idx="710">
                  <c:v>3</c:v>
                </c:pt>
                <c:pt idx="711">
                  <c:v>2</c:v>
                </c:pt>
                <c:pt idx="712">
                  <c:v>3</c:v>
                </c:pt>
                <c:pt idx="713">
                  <c:v>5</c:v>
                </c:pt>
                <c:pt idx="714">
                  <c:v>6</c:v>
                </c:pt>
                <c:pt idx="715">
                  <c:v>2</c:v>
                </c:pt>
                <c:pt idx="716">
                  <c:v>6</c:v>
                </c:pt>
                <c:pt idx="717">
                  <c:v>6</c:v>
                </c:pt>
                <c:pt idx="718">
                  <c:v>2</c:v>
                </c:pt>
                <c:pt idx="719">
                  <c:v>6</c:v>
                </c:pt>
                <c:pt idx="720">
                  <c:v>5</c:v>
                </c:pt>
                <c:pt idx="721">
                  <c:v>6</c:v>
                </c:pt>
                <c:pt idx="722">
                  <c:v>6</c:v>
                </c:pt>
                <c:pt idx="723">
                  <c:v>6</c:v>
                </c:pt>
                <c:pt idx="724">
                  <c:v>6</c:v>
                </c:pt>
                <c:pt idx="725">
                  <c:v>6</c:v>
                </c:pt>
                <c:pt idx="726">
                  <c:v>6</c:v>
                </c:pt>
                <c:pt idx="727">
                  <c:v>6</c:v>
                </c:pt>
                <c:pt idx="728">
                  <c:v>6</c:v>
                </c:pt>
                <c:pt idx="729">
                  <c:v>7</c:v>
                </c:pt>
                <c:pt idx="730">
                  <c:v>6</c:v>
                </c:pt>
                <c:pt idx="731">
                  <c:v>7</c:v>
                </c:pt>
                <c:pt idx="732">
                  <c:v>7</c:v>
                </c:pt>
                <c:pt idx="733">
                  <c:v>7</c:v>
                </c:pt>
                <c:pt idx="734">
                  <c:v>7</c:v>
                </c:pt>
                <c:pt idx="735">
                  <c:v>5</c:v>
                </c:pt>
                <c:pt idx="736">
                  <c:v>3</c:v>
                </c:pt>
                <c:pt idx="737">
                  <c:v>2</c:v>
                </c:pt>
                <c:pt idx="738">
                  <c:v>2</c:v>
                </c:pt>
                <c:pt idx="739">
                  <c:v>2</c:v>
                </c:pt>
                <c:pt idx="740">
                  <c:v>1</c:v>
                </c:pt>
                <c:pt idx="741">
                  <c:v>3</c:v>
                </c:pt>
                <c:pt idx="742">
                  <c:v>3</c:v>
                </c:pt>
                <c:pt idx="743">
                  <c:v>2</c:v>
                </c:pt>
                <c:pt idx="744">
                  <c:v>6</c:v>
                </c:pt>
                <c:pt idx="745">
                  <c:v>4</c:v>
                </c:pt>
                <c:pt idx="746">
                  <c:v>5</c:v>
                </c:pt>
                <c:pt idx="747">
                  <c:v>5</c:v>
                </c:pt>
                <c:pt idx="748">
                  <c:v>2</c:v>
                </c:pt>
                <c:pt idx="749">
                  <c:v>5</c:v>
                </c:pt>
                <c:pt idx="750">
                  <c:v>5</c:v>
                </c:pt>
                <c:pt idx="751">
                  <c:v>3</c:v>
                </c:pt>
                <c:pt idx="752">
                  <c:v>2</c:v>
                </c:pt>
                <c:pt idx="753">
                  <c:v>5</c:v>
                </c:pt>
                <c:pt idx="754">
                  <c:v>4</c:v>
                </c:pt>
                <c:pt idx="755">
                  <c:v>3</c:v>
                </c:pt>
                <c:pt idx="756">
                  <c:v>2</c:v>
                </c:pt>
                <c:pt idx="757">
                  <c:v>2</c:v>
                </c:pt>
                <c:pt idx="758">
                  <c:v>4</c:v>
                </c:pt>
                <c:pt idx="759">
                  <c:v>2</c:v>
                </c:pt>
                <c:pt idx="760">
                  <c:v>2</c:v>
                </c:pt>
                <c:pt idx="761">
                  <c:v>4</c:v>
                </c:pt>
                <c:pt idx="762">
                  <c:v>3</c:v>
                </c:pt>
                <c:pt idx="763">
                  <c:v>2</c:v>
                </c:pt>
                <c:pt idx="764">
                  <c:v>3</c:v>
                </c:pt>
                <c:pt idx="765">
                  <c:v>4</c:v>
                </c:pt>
                <c:pt idx="766">
                  <c:v>4</c:v>
                </c:pt>
                <c:pt idx="767">
                  <c:v>5</c:v>
                </c:pt>
                <c:pt idx="768">
                  <c:v>5</c:v>
                </c:pt>
                <c:pt idx="769">
                  <c:v>5</c:v>
                </c:pt>
                <c:pt idx="770">
                  <c:v>5</c:v>
                </c:pt>
                <c:pt idx="771">
                  <c:v>5</c:v>
                </c:pt>
                <c:pt idx="772">
                  <c:v>4</c:v>
                </c:pt>
                <c:pt idx="773">
                  <c:v>4</c:v>
                </c:pt>
                <c:pt idx="774">
                  <c:v>2</c:v>
                </c:pt>
                <c:pt idx="775">
                  <c:v>4</c:v>
                </c:pt>
                <c:pt idx="776">
                  <c:v>4</c:v>
                </c:pt>
                <c:pt idx="777">
                  <c:v>4</c:v>
                </c:pt>
                <c:pt idx="778">
                  <c:v>4</c:v>
                </c:pt>
                <c:pt idx="779">
                  <c:v>4</c:v>
                </c:pt>
                <c:pt idx="780">
                  <c:v>2</c:v>
                </c:pt>
                <c:pt idx="781">
                  <c:v>3</c:v>
                </c:pt>
                <c:pt idx="782">
                  <c:v>3</c:v>
                </c:pt>
                <c:pt idx="783">
                  <c:v>3</c:v>
                </c:pt>
                <c:pt idx="784">
                  <c:v>3</c:v>
                </c:pt>
                <c:pt idx="785">
                  <c:v>4</c:v>
                </c:pt>
                <c:pt idx="786">
                  <c:v>5</c:v>
                </c:pt>
                <c:pt idx="787">
                  <c:v>5</c:v>
                </c:pt>
                <c:pt idx="788">
                  <c:v>2</c:v>
                </c:pt>
                <c:pt idx="789">
                  <c:v>4</c:v>
                </c:pt>
                <c:pt idx="790">
                  <c:v>4</c:v>
                </c:pt>
                <c:pt idx="791">
                  <c:v>4</c:v>
                </c:pt>
                <c:pt idx="792">
                  <c:v>5</c:v>
                </c:pt>
                <c:pt idx="793">
                  <c:v>5</c:v>
                </c:pt>
                <c:pt idx="794">
                  <c:v>2</c:v>
                </c:pt>
                <c:pt idx="795">
                  <c:v>5</c:v>
                </c:pt>
                <c:pt idx="796">
                  <c:v>2</c:v>
                </c:pt>
                <c:pt idx="797">
                  <c:v>4</c:v>
                </c:pt>
                <c:pt idx="798">
                  <c:v>4</c:v>
                </c:pt>
                <c:pt idx="799">
                  <c:v>4</c:v>
                </c:pt>
                <c:pt idx="800">
                  <c:v>4</c:v>
                </c:pt>
                <c:pt idx="801">
                  <c:v>4</c:v>
                </c:pt>
                <c:pt idx="802">
                  <c:v>5</c:v>
                </c:pt>
                <c:pt idx="803">
                  <c:v>4</c:v>
                </c:pt>
                <c:pt idx="804">
                  <c:v>4</c:v>
                </c:pt>
                <c:pt idx="805">
                  <c:v>4</c:v>
                </c:pt>
                <c:pt idx="806">
                  <c:v>4</c:v>
                </c:pt>
                <c:pt idx="807">
                  <c:v>4</c:v>
                </c:pt>
                <c:pt idx="808">
                  <c:v>4</c:v>
                </c:pt>
                <c:pt idx="809">
                  <c:v>2</c:v>
                </c:pt>
                <c:pt idx="810">
                  <c:v>3</c:v>
                </c:pt>
                <c:pt idx="811">
                  <c:v>3</c:v>
                </c:pt>
                <c:pt idx="812">
                  <c:v>4</c:v>
                </c:pt>
                <c:pt idx="813">
                  <c:v>3</c:v>
                </c:pt>
                <c:pt idx="814">
                  <c:v>2</c:v>
                </c:pt>
                <c:pt idx="815">
                  <c:v>2</c:v>
                </c:pt>
                <c:pt idx="816">
                  <c:v>4</c:v>
                </c:pt>
                <c:pt idx="817">
                  <c:v>3</c:v>
                </c:pt>
                <c:pt idx="818">
                  <c:v>3</c:v>
                </c:pt>
                <c:pt idx="819">
                  <c:v>2</c:v>
                </c:pt>
                <c:pt idx="820">
                  <c:v>4</c:v>
                </c:pt>
                <c:pt idx="821">
                  <c:v>4</c:v>
                </c:pt>
                <c:pt idx="822">
                  <c:v>6</c:v>
                </c:pt>
                <c:pt idx="823">
                  <c:v>2</c:v>
                </c:pt>
                <c:pt idx="824">
                  <c:v>2</c:v>
                </c:pt>
                <c:pt idx="825">
                  <c:v>2</c:v>
                </c:pt>
                <c:pt idx="826">
                  <c:v>2</c:v>
                </c:pt>
                <c:pt idx="827">
                  <c:v>4</c:v>
                </c:pt>
                <c:pt idx="828">
                  <c:v>3</c:v>
                </c:pt>
                <c:pt idx="829">
                  <c:v>6</c:v>
                </c:pt>
                <c:pt idx="830">
                  <c:v>5</c:v>
                </c:pt>
                <c:pt idx="831">
                  <c:v>4</c:v>
                </c:pt>
                <c:pt idx="832">
                  <c:v>1</c:v>
                </c:pt>
                <c:pt idx="833">
                  <c:v>5</c:v>
                </c:pt>
                <c:pt idx="834">
                  <c:v>4</c:v>
                </c:pt>
                <c:pt idx="835">
                  <c:v>5</c:v>
                </c:pt>
                <c:pt idx="836">
                  <c:v>5</c:v>
                </c:pt>
                <c:pt idx="837">
                  <c:v>1</c:v>
                </c:pt>
                <c:pt idx="838">
                  <c:v>1</c:v>
                </c:pt>
                <c:pt idx="839">
                  <c:v>1</c:v>
                </c:pt>
                <c:pt idx="840">
                  <c:v>2</c:v>
                </c:pt>
                <c:pt idx="841">
                  <c:v>1</c:v>
                </c:pt>
                <c:pt idx="842">
                  <c:v>2</c:v>
                </c:pt>
                <c:pt idx="843">
                  <c:v>2</c:v>
                </c:pt>
                <c:pt idx="844">
                  <c:v>2</c:v>
                </c:pt>
                <c:pt idx="845">
                  <c:v>2</c:v>
                </c:pt>
                <c:pt idx="846">
                  <c:v>1</c:v>
                </c:pt>
                <c:pt idx="847">
                  <c:v>2</c:v>
                </c:pt>
                <c:pt idx="848">
                  <c:v>4</c:v>
                </c:pt>
                <c:pt idx="849">
                  <c:v>4</c:v>
                </c:pt>
                <c:pt idx="850">
                  <c:v>4</c:v>
                </c:pt>
                <c:pt idx="851">
                  <c:v>2</c:v>
                </c:pt>
                <c:pt idx="852">
                  <c:v>4</c:v>
                </c:pt>
                <c:pt idx="853">
                  <c:v>5</c:v>
                </c:pt>
                <c:pt idx="854">
                  <c:v>4</c:v>
                </c:pt>
                <c:pt idx="855">
                  <c:v>5</c:v>
                </c:pt>
                <c:pt idx="856">
                  <c:v>2</c:v>
                </c:pt>
                <c:pt idx="857">
                  <c:v>2</c:v>
                </c:pt>
                <c:pt idx="858">
                  <c:v>2</c:v>
                </c:pt>
                <c:pt idx="859">
                  <c:v>2</c:v>
                </c:pt>
                <c:pt idx="860">
                  <c:v>2</c:v>
                </c:pt>
                <c:pt idx="861">
                  <c:v>4</c:v>
                </c:pt>
                <c:pt idx="862">
                  <c:v>6</c:v>
                </c:pt>
                <c:pt idx="863">
                  <c:v>4</c:v>
                </c:pt>
                <c:pt idx="864">
                  <c:v>4</c:v>
                </c:pt>
                <c:pt idx="865">
                  <c:v>4</c:v>
                </c:pt>
                <c:pt idx="866">
                  <c:v>5</c:v>
                </c:pt>
                <c:pt idx="867">
                  <c:v>6</c:v>
                </c:pt>
                <c:pt idx="868">
                  <c:v>6</c:v>
                </c:pt>
                <c:pt idx="869">
                  <c:v>6</c:v>
                </c:pt>
                <c:pt idx="870">
                  <c:v>4</c:v>
                </c:pt>
                <c:pt idx="871">
                  <c:v>5</c:v>
                </c:pt>
                <c:pt idx="872">
                  <c:v>6</c:v>
                </c:pt>
                <c:pt idx="873">
                  <c:v>4</c:v>
                </c:pt>
                <c:pt idx="874">
                  <c:v>5</c:v>
                </c:pt>
                <c:pt idx="875">
                  <c:v>3</c:v>
                </c:pt>
                <c:pt idx="876">
                  <c:v>4</c:v>
                </c:pt>
                <c:pt idx="877">
                  <c:v>3</c:v>
                </c:pt>
                <c:pt idx="878">
                  <c:v>3</c:v>
                </c:pt>
                <c:pt idx="879">
                  <c:v>3</c:v>
                </c:pt>
                <c:pt idx="880">
                  <c:v>3</c:v>
                </c:pt>
                <c:pt idx="881">
                  <c:v>3</c:v>
                </c:pt>
              </c:numCache>
            </c:numRef>
          </c:yVal>
          <c:smooth val="0"/>
          <c:extLst>
            <c:ext xmlns:c16="http://schemas.microsoft.com/office/drawing/2014/chart" uri="{C3380CC4-5D6E-409C-BE32-E72D297353CC}">
              <c16:uniqueId val="{00000000-121A-4438-A2BC-880FC89C88B5}"/>
            </c:ext>
          </c:extLst>
        </c:ser>
        <c:dLbls>
          <c:showLegendKey val="0"/>
          <c:showVal val="0"/>
          <c:showCatName val="0"/>
          <c:showSerName val="0"/>
          <c:showPercent val="0"/>
          <c:showBubbleSize val="0"/>
        </c:dLbls>
        <c:axId val="278911536"/>
        <c:axId val="278911856"/>
      </c:scatterChart>
      <c:valAx>
        <c:axId val="278911536"/>
        <c:scaling>
          <c:orientation val="minMax"/>
          <c:max val="150"/>
          <c:min val="-1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ltLang="ja-JP" baseline="0"/>
                  <a:t>Hours after the start of climactic eruption</a:t>
                </a:r>
                <a:endParaRPr lang="ja-JP" alt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78911856"/>
        <c:crosses val="autoZero"/>
        <c:crossBetween val="midCat"/>
      </c:valAx>
      <c:valAx>
        <c:axId val="2789118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ltLang="ja-JP"/>
                  <a:t>Volcanic Unrest Classification</a:t>
                </a:r>
                <a:endParaRPr lang="ja-JP" alt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789115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Descrete!$N$2:$N$1086</c:f>
              <c:numCache>
                <c:formatCode>0.00</c:formatCode>
                <c:ptCount val="1085"/>
                <c:pt idx="0">
                  <c:v>-2.0827853703164503</c:v>
                </c:pt>
                <c:pt idx="1">
                  <c:v>-1.6901960800285136</c:v>
                </c:pt>
                <c:pt idx="2">
                  <c:v>-1.3979400086720377</c:v>
                </c:pt>
                <c:pt idx="3">
                  <c:v>-0.89579074825044414</c:v>
                </c:pt>
                <c:pt idx="4">
                  <c:v>-0.69897000433601886</c:v>
                </c:pt>
                <c:pt idx="5">
                  <c:v>0</c:v>
                </c:pt>
                <c:pt idx="6">
                  <c:v>0.3010299956639812</c:v>
                </c:pt>
                <c:pt idx="7">
                  <c:v>0.69897000433601886</c:v>
                </c:pt>
                <c:pt idx="8">
                  <c:v>1.038752588989386</c:v>
                </c:pt>
                <c:pt idx="9">
                  <c:v>1.038752588989386</c:v>
                </c:pt>
                <c:pt idx="10">
                  <c:v>1.2041199826559248</c:v>
                </c:pt>
                <c:pt idx="11">
                  <c:v>1.2787536009528289</c:v>
                </c:pt>
                <c:pt idx="12">
                  <c:v>1.3617278360175928</c:v>
                </c:pt>
                <c:pt idx="13">
                  <c:v>1.5132176000688213</c:v>
                </c:pt>
                <c:pt idx="14">
                  <c:v>1.6946051989335686</c:v>
                </c:pt>
                <c:pt idx="15">
                  <c:v>1.7075701760979363</c:v>
                </c:pt>
                <c:pt idx="16">
                  <c:v>1.8195439355418688</c:v>
                </c:pt>
                <c:pt idx="17">
                  <c:v>1.9498777040368747</c:v>
                </c:pt>
                <c:pt idx="18">
                  <c:v>2.4190741557345481</c:v>
                </c:pt>
                <c:pt idx="19">
                  <c:v>5.5562868176278268</c:v>
                </c:pt>
                <c:pt idx="20">
                  <c:v>7.1937184309174045</c:v>
                </c:pt>
                <c:pt idx="21">
                  <c:v>-5.9678056451168704</c:v>
                </c:pt>
                <c:pt idx="22">
                  <c:v>-5.9309911602710566</c:v>
                </c:pt>
                <c:pt idx="23">
                  <c:v>-5.9062481472749271</c:v>
                </c:pt>
                <c:pt idx="24">
                  <c:v>-5.8944948123021597</c:v>
                </c:pt>
                <c:pt idx="25">
                  <c:v>-5.858750532930018</c:v>
                </c:pt>
                <c:pt idx="26">
                  <c:v>-5.8297376896211945</c:v>
                </c:pt>
                <c:pt idx="27">
                  <c:v>-5.6506831176973638</c:v>
                </c:pt>
                <c:pt idx="28">
                  <c:v>-5.6506528458540695</c:v>
                </c:pt>
                <c:pt idx="29">
                  <c:v>-5.6506161317387358</c:v>
                </c:pt>
                <c:pt idx="30">
                  <c:v>-5.6506132190713645</c:v>
                </c:pt>
                <c:pt idx="31">
                  <c:v>-5.2635100220632447</c:v>
                </c:pt>
                <c:pt idx="32">
                  <c:v>-5.1267765227130075</c:v>
                </c:pt>
                <c:pt idx="33">
                  <c:v>-4.8633868097363422</c:v>
                </c:pt>
                <c:pt idx="34">
                  <c:v>-4.8072288169450692</c:v>
                </c:pt>
                <c:pt idx="35">
                  <c:v>-4.5867982125586533</c:v>
                </c:pt>
                <c:pt idx="36">
                  <c:v>-4.5369464829809978</c:v>
                </c:pt>
                <c:pt idx="37">
                  <c:v>-4.0451736236237439</c:v>
                </c:pt>
                <c:pt idx="38">
                  <c:v>-3.416099382212948</c:v>
                </c:pt>
                <c:pt idx="39">
                  <c:v>-2.9725499500122248</c:v>
                </c:pt>
                <c:pt idx="40">
                  <c:v>-2.9725499500122248</c:v>
                </c:pt>
                <c:pt idx="41">
                  <c:v>-1.8736111969964673</c:v>
                </c:pt>
                <c:pt idx="42">
                  <c:v>-1.8736111969964673</c:v>
                </c:pt>
                <c:pt idx="43">
                  <c:v>-0.43933269383026263</c:v>
                </c:pt>
                <c:pt idx="44">
                  <c:v>-10.178962405374874</c:v>
                </c:pt>
                <c:pt idx="45">
                  <c:v>-10.178962405374874</c:v>
                </c:pt>
                <c:pt idx="46">
                  <c:v>1.5217916496391235</c:v>
                </c:pt>
                <c:pt idx="47">
                  <c:v>1.655618583541222</c:v>
                </c:pt>
                <c:pt idx="48">
                  <c:v>1.8404197777364861</c:v>
                </c:pt>
                <c:pt idx="49">
                  <c:v>2.2181414681576777</c:v>
                </c:pt>
                <c:pt idx="50">
                  <c:v>2.4170562991191105</c:v>
                </c:pt>
                <c:pt idx="51">
                  <c:v>2.7000543856282389</c:v>
                </c:pt>
                <c:pt idx="52">
                  <c:v>3.8348814599110788</c:v>
                </c:pt>
                <c:pt idx="53">
                  <c:v>7.190338042092276</c:v>
                </c:pt>
                <c:pt idx="54">
                  <c:v>-4.050672925303922</c:v>
                </c:pt>
                <c:pt idx="55">
                  <c:v>-4.0350927123421627</c:v>
                </c:pt>
                <c:pt idx="56">
                  <c:v>-3.9889860557087093</c:v>
                </c:pt>
                <c:pt idx="57">
                  <c:v>-3.4699544923925285</c:v>
                </c:pt>
                <c:pt idx="58">
                  <c:v>-3.4395353173133505</c:v>
                </c:pt>
                <c:pt idx="59">
                  <c:v>-3.2389447230255599</c:v>
                </c:pt>
                <c:pt idx="60">
                  <c:v>-3.126320848696571</c:v>
                </c:pt>
                <c:pt idx="61">
                  <c:v>-2.8677522099747468</c:v>
                </c:pt>
                <c:pt idx="62">
                  <c:v>-2.8232024383848469</c:v>
                </c:pt>
                <c:pt idx="63">
                  <c:v>-2.740507430199421</c:v>
                </c:pt>
                <c:pt idx="64">
                  <c:v>-2.6289846118079154</c:v>
                </c:pt>
                <c:pt idx="65">
                  <c:v>-2.2152408870653151</c:v>
                </c:pt>
                <c:pt idx="66">
                  <c:v>-1.7017118626394541</c:v>
                </c:pt>
                <c:pt idx="67">
                  <c:v>-1.3610979671879633</c:v>
                </c:pt>
                <c:pt idx="68">
                  <c:v>-0.90937771082921881</c:v>
                </c:pt>
                <c:pt idx="69">
                  <c:v>-0.85227662464239062</c:v>
                </c:pt>
                <c:pt idx="70">
                  <c:v>-0.80163234623316648</c:v>
                </c:pt>
                <c:pt idx="71">
                  <c:v>-0.7817553746548459</c:v>
                </c:pt>
                <c:pt idx="72">
                  <c:v>-0.58168423195624441</c:v>
                </c:pt>
                <c:pt idx="73">
                  <c:v>-0.48902047801470599</c:v>
                </c:pt>
                <c:pt idx="74">
                  <c:v>-0.41218044778664786</c:v>
                </c:pt>
                <c:pt idx="75">
                  <c:v>0.97389719743579484</c:v>
                </c:pt>
                <c:pt idx="76">
                  <c:v>1.2652110276374859</c:v>
                </c:pt>
                <c:pt idx="77">
                  <c:v>1.4093694704522592</c:v>
                </c:pt>
                <c:pt idx="78">
                  <c:v>1.4093694704522592</c:v>
                </c:pt>
                <c:pt idx="79">
                  <c:v>1.4380146519023496</c:v>
                </c:pt>
                <c:pt idx="80">
                  <c:v>1.5239631265725575</c:v>
                </c:pt>
                <c:pt idx="81">
                  <c:v>1.6938734473169288</c:v>
                </c:pt>
                <c:pt idx="82">
                  <c:v>1.6996932259552582</c:v>
                </c:pt>
                <c:pt idx="83">
                  <c:v>1.7475412741213672</c:v>
                </c:pt>
                <c:pt idx="84">
                  <c:v>1.8697205149226859</c:v>
                </c:pt>
                <c:pt idx="85">
                  <c:v>1.9841521129041249</c:v>
                </c:pt>
                <c:pt idx="86">
                  <c:v>1.9915214136717023</c:v>
                </c:pt>
                <c:pt idx="87">
                  <c:v>2.0061093321822985</c:v>
                </c:pt>
                <c:pt idx="88">
                  <c:v>2.0350960505139613</c:v>
                </c:pt>
                <c:pt idx="89">
                  <c:v>2.0350960505139613</c:v>
                </c:pt>
                <c:pt idx="90">
                  <c:v>2.0678764249808581</c:v>
                </c:pt>
                <c:pt idx="91">
                  <c:v>2.068000226145049</c:v>
                </c:pt>
                <c:pt idx="92">
                  <c:v>2.0706534506682823</c:v>
                </c:pt>
                <c:pt idx="93">
                  <c:v>2.0719433440031789</c:v>
                </c:pt>
                <c:pt idx="94">
                  <c:v>2.0734128318799665</c:v>
                </c:pt>
                <c:pt idx="95">
                  <c:v>2.0761547914175575</c:v>
                </c:pt>
                <c:pt idx="96">
                  <c:v>2.0817672348171317</c:v>
                </c:pt>
                <c:pt idx="97">
                  <c:v>2.0913738124735834</c:v>
                </c:pt>
                <c:pt idx="98">
                  <c:v>2.1268346307157198</c:v>
                </c:pt>
                <c:pt idx="99">
                  <c:v>2.1271047983648614</c:v>
                </c:pt>
                <c:pt idx="100">
                  <c:v>2.1271047983648614</c:v>
                </c:pt>
                <c:pt idx="101">
                  <c:v>2.12818379142134</c:v>
                </c:pt>
                <c:pt idx="102">
                  <c:v>2.1284531213412299</c:v>
                </c:pt>
                <c:pt idx="103">
                  <c:v>2.1284531213412299</c:v>
                </c:pt>
                <c:pt idx="104">
                  <c:v>2.1443146949148728</c:v>
                </c:pt>
                <c:pt idx="105">
                  <c:v>2.1505005962700507</c:v>
                </c:pt>
                <c:pt idx="106">
                  <c:v>2.157708547654337</c:v>
                </c:pt>
                <c:pt idx="107">
                  <c:v>2.1626141852476728</c:v>
                </c:pt>
                <c:pt idx="108">
                  <c:v>2.1641049000358215</c:v>
                </c:pt>
                <c:pt idx="109">
                  <c:v>2.164798819693357</c:v>
                </c:pt>
                <c:pt idx="110">
                  <c:v>2.1928925414524771</c:v>
                </c:pt>
                <c:pt idx="111">
                  <c:v>2.1772959601940518</c:v>
                </c:pt>
                <c:pt idx="112">
                  <c:v>3.6010182457083948</c:v>
                </c:pt>
                <c:pt idx="113">
                  <c:v>7.1810300099600637</c:v>
                </c:pt>
                <c:pt idx="114">
                  <c:v>7.1812034463417254</c:v>
                </c:pt>
                <c:pt idx="115">
                  <c:v>7.1824556259862931</c:v>
                </c:pt>
                <c:pt idx="116">
                  <c:v>7.187429227348999</c:v>
                </c:pt>
                <c:pt idx="117">
                  <c:v>7.18764140409181</c:v>
                </c:pt>
                <c:pt idx="118">
                  <c:v>7.1879231309704696</c:v>
                </c:pt>
                <c:pt idx="119">
                  <c:v>7.190240682925702</c:v>
                </c:pt>
                <c:pt idx="120">
                  <c:v>7.1935977215344211</c:v>
                </c:pt>
                <c:pt idx="121">
                  <c:v>7.1937798884025659</c:v>
                </c:pt>
                <c:pt idx="122">
                  <c:v>7.1959977863416382</c:v>
                </c:pt>
                <c:pt idx="123">
                  <c:v>7.1964820462041175</c:v>
                </c:pt>
                <c:pt idx="124">
                  <c:v>7.1992890476586542</c:v>
                </c:pt>
                <c:pt idx="125">
                  <c:v>7.1996186162323488</c:v>
                </c:pt>
                <c:pt idx="126">
                  <c:v>7.211464635368328</c:v>
                </c:pt>
                <c:pt idx="127">
                  <c:v>7.2117102043422872</c:v>
                </c:pt>
                <c:pt idx="128">
                  <c:v>7.2120976455066099</c:v>
                </c:pt>
                <c:pt idx="129">
                  <c:v>7.2126326480378289</c:v>
                </c:pt>
                <c:pt idx="130">
                  <c:v>7.2128775576399216</c:v>
                </c:pt>
                <c:pt idx="131">
                  <c:v>7.2139211049114467</c:v>
                </c:pt>
                <c:pt idx="132">
                  <c:v>7.2141401448788125</c:v>
                </c:pt>
                <c:pt idx="133">
                  <c:v>7.2145069803212483</c:v>
                </c:pt>
                <c:pt idx="134">
                  <c:v>7.2153168654174937</c:v>
                </c:pt>
                <c:pt idx="135">
                  <c:v>7.2156668502312424</c:v>
                </c:pt>
                <c:pt idx="136">
                  <c:v>7.2161553418054538</c:v>
                </c:pt>
                <c:pt idx="137">
                  <c:v>7.2164505160989281</c:v>
                </c:pt>
                <c:pt idx="138">
                  <c:v>7.2165926475907902</c:v>
                </c:pt>
                <c:pt idx="139">
                  <c:v>7.2171540710104756</c:v>
                </c:pt>
                <c:pt idx="140">
                  <c:v>-4.9393994307163815</c:v>
                </c:pt>
                <c:pt idx="141">
                  <c:v>-4.8747136887577796</c:v>
                </c:pt>
                <c:pt idx="142">
                  <c:v>-4.5536888851646005</c:v>
                </c:pt>
                <c:pt idx="143">
                  <c:v>0</c:v>
                </c:pt>
                <c:pt idx="144">
                  <c:v>1.8061799739838871</c:v>
                </c:pt>
                <c:pt idx="145">
                  <c:v>1.8481891169913987</c:v>
                </c:pt>
                <c:pt idx="146">
                  <c:v>1.8543060418010806</c:v>
                </c:pt>
                <c:pt idx="147">
                  <c:v>2.2240148113728639</c:v>
                </c:pt>
                <c:pt idx="148">
                  <c:v>5.0715138050950888</c:v>
                </c:pt>
                <c:pt idx="149">
                  <c:v>5.3936804740207762</c:v>
                </c:pt>
                <c:pt idx="150">
                  <c:v>5.5894044374311349</c:v>
                </c:pt>
                <c:pt idx="151">
                  <c:v>5.6281354324779143</c:v>
                </c:pt>
                <c:pt idx="152">
                  <c:v>5.6456894452922484</c:v>
                </c:pt>
                <c:pt idx="153">
                  <c:v>5.721210264243048</c:v>
                </c:pt>
                <c:pt idx="154">
                  <c:v>5.7414289542932879</c:v>
                </c:pt>
                <c:pt idx="155">
                  <c:v>5.7551244783704929</c:v>
                </c:pt>
                <c:pt idx="156">
                  <c:v>5.7883154687876566</c:v>
                </c:pt>
                <c:pt idx="157">
                  <c:v>5.8028667295840588</c:v>
                </c:pt>
                <c:pt idx="158">
                  <c:v>5.8146843349246851</c:v>
                </c:pt>
                <c:pt idx="159">
                  <c:v>5.8202224838230601</c:v>
                </c:pt>
                <c:pt idx="160">
                  <c:v>5.8355434570602513</c:v>
                </c:pt>
                <c:pt idx="161">
                  <c:v>5.8539900763583308</c:v>
                </c:pt>
                <c:pt idx="162">
                  <c:v>5.8714328179508888</c:v>
                </c:pt>
                <c:pt idx="163">
                  <c:v>5.9426706529350337</c:v>
                </c:pt>
                <c:pt idx="164">
                  <c:v>5.9693786322576532</c:v>
                </c:pt>
                <c:pt idx="165">
                  <c:v>7.2015327996654888</c:v>
                </c:pt>
                <c:pt idx="174">
                  <c:v>0</c:v>
                </c:pt>
                <c:pt idx="176">
                  <c:v>3.2540644529143381</c:v>
                </c:pt>
                <c:pt idx="179">
                  <c:v>3.2605483726369795</c:v>
                </c:pt>
                <c:pt idx="196">
                  <c:v>7.1926543843698916</c:v>
                </c:pt>
                <c:pt idx="197">
                  <c:v>7.1931076410510446</c:v>
                </c:pt>
                <c:pt idx="198">
                  <c:v>-5.9794705680209326</c:v>
                </c:pt>
                <c:pt idx="199">
                  <c:v>-5.9762293962465369</c:v>
                </c:pt>
                <c:pt idx="200">
                  <c:v>-5.968526422524457</c:v>
                </c:pt>
                <c:pt idx="201">
                  <c:v>-5.9341049335103353</c:v>
                </c:pt>
                <c:pt idx="202">
                  <c:v>-5.8787613381948116</c:v>
                </c:pt>
                <c:pt idx="203">
                  <c:v>-5.8608774545153901</c:v>
                </c:pt>
                <c:pt idx="204">
                  <c:v>-5.7867153003997442</c:v>
                </c:pt>
                <c:pt idx="205">
                  <c:v>-5.6825005978318419</c:v>
                </c:pt>
                <c:pt idx="206">
                  <c:v>-5.6769505445095518</c:v>
                </c:pt>
                <c:pt idx="207">
                  <c:v>-5.5727613888951986</c:v>
                </c:pt>
                <c:pt idx="208">
                  <c:v>-5.2171603400940967</c:v>
                </c:pt>
                <c:pt idx="209">
                  <c:v>-2.7102020146553847</c:v>
                </c:pt>
                <c:pt idx="210">
                  <c:v>0.45593195573190204</c:v>
                </c:pt>
                <c:pt idx="211">
                  <c:v>0</c:v>
                </c:pt>
                <c:pt idx="212">
                  <c:v>0.50965047955547793</c:v>
                </c:pt>
                <c:pt idx="213">
                  <c:v>0.84716120057803024</c:v>
                </c:pt>
                <c:pt idx="214">
                  <c:v>1.173186268412274</c:v>
                </c:pt>
                <c:pt idx="215">
                  <c:v>2.2622137054764169</c:v>
                </c:pt>
                <c:pt idx="216">
                  <c:v>-2.741939077729199</c:v>
                </c:pt>
                <c:pt idx="217">
                  <c:v>-1.8573324964312685</c:v>
                </c:pt>
                <c:pt idx="218">
                  <c:v>0</c:v>
                </c:pt>
                <c:pt idx="219">
                  <c:v>2.9822712330395684</c:v>
                </c:pt>
                <c:pt idx="220">
                  <c:v>2.9822712330395684</c:v>
                </c:pt>
                <c:pt idx="221">
                  <c:v>3.5843312243675309</c:v>
                </c:pt>
                <c:pt idx="222">
                  <c:v>4.1917862475821996</c:v>
                </c:pt>
                <c:pt idx="223">
                  <c:v>4.2924332982440214</c:v>
                </c:pt>
                <c:pt idx="224">
                  <c:v>4.3542621445044833</c:v>
                </c:pt>
                <c:pt idx="225">
                  <c:v>4.4457909564400548</c:v>
                </c:pt>
                <c:pt idx="226">
                  <c:v>4.5427756482346249</c:v>
                </c:pt>
                <c:pt idx="227">
                  <c:v>4.5937289987079106</c:v>
                </c:pt>
                <c:pt idx="228">
                  <c:v>4.6770957172501531</c:v>
                </c:pt>
                <c:pt idx="229">
                  <c:v>4.6894154213820132</c:v>
                </c:pt>
                <c:pt idx="230">
                  <c:v>4.7202585593729989</c:v>
                </c:pt>
                <c:pt idx="231">
                  <c:v>4.7877720911979686</c:v>
                </c:pt>
                <c:pt idx="232">
                  <c:v>4.8215921266281176</c:v>
                </c:pt>
                <c:pt idx="233">
                  <c:v>4.8811334809019069</c:v>
                </c:pt>
                <c:pt idx="234">
                  <c:v>4.9055152516698453</c:v>
                </c:pt>
                <c:pt idx="235">
                  <c:v>4.9149986003410975</c:v>
                </c:pt>
                <c:pt idx="236">
                  <c:v>5.130256553723374</c:v>
                </c:pt>
                <c:pt idx="237">
                  <c:v>5.2529500691842745</c:v>
                </c:pt>
                <c:pt idx="238">
                  <c:v>5.2736955879300922</c:v>
                </c:pt>
                <c:pt idx="239">
                  <c:v>5.3022616438787802</c:v>
                </c:pt>
                <c:pt idx="240">
                  <c:v>5.3102938751039774</c:v>
                </c:pt>
                <c:pt idx="241">
                  <c:v>5.3213249687487076</c:v>
                </c:pt>
                <c:pt idx="242">
                  <c:v>5.3317915866149974</c:v>
                </c:pt>
                <c:pt idx="243">
                  <c:v>5.3378185287717015</c:v>
                </c:pt>
                <c:pt idx="244">
                  <c:v>5.351719023422862</c:v>
                </c:pt>
                <c:pt idx="245">
                  <c:v>5.3944376711008353</c:v>
                </c:pt>
                <c:pt idx="246">
                  <c:v>5.4146792644666482</c:v>
                </c:pt>
                <c:pt idx="247">
                  <c:v>5.4260425560593601</c:v>
                </c:pt>
                <c:pt idx="248">
                  <c:v>5.4358571017062616</c:v>
                </c:pt>
                <c:pt idx="249">
                  <c:v>5.4714208064457353</c:v>
                </c:pt>
                <c:pt idx="250">
                  <c:v>5.4777461889288839</c:v>
                </c:pt>
                <c:pt idx="251">
                  <c:v>5.5037688997155554</c:v>
                </c:pt>
                <c:pt idx="252">
                  <c:v>5.5225694174754514</c:v>
                </c:pt>
                <c:pt idx="253">
                  <c:v>5.530599219036886</c:v>
                </c:pt>
                <c:pt idx="254">
                  <c:v>5.5437900069003803</c:v>
                </c:pt>
                <c:pt idx="255">
                  <c:v>5.5529600806943495</c:v>
                </c:pt>
                <c:pt idx="256">
                  <c:v>5.5613113214396543</c:v>
                </c:pt>
                <c:pt idx="257">
                  <c:v>5.5673087422950829</c:v>
                </c:pt>
                <c:pt idx="258">
                  <c:v>5.5728344417245523</c:v>
                </c:pt>
                <c:pt idx="259">
                  <c:v>5.5797470229099462</c:v>
                </c:pt>
                <c:pt idx="260">
                  <c:v>5.5901281947205979</c:v>
                </c:pt>
                <c:pt idx="261">
                  <c:v>5.5934898717044002</c:v>
                </c:pt>
                <c:pt idx="262">
                  <c:v>5.6032136809220159</c:v>
                </c:pt>
                <c:pt idx="263">
                  <c:v>5.6068369203074111</c:v>
                </c:pt>
                <c:pt idx="264">
                  <c:v>5.6165217241439374</c:v>
                </c:pt>
                <c:pt idx="265">
                  <c:v>5.6218573197129951</c:v>
                </c:pt>
                <c:pt idx="266">
                  <c:v>5.6261185433392829</c:v>
                </c:pt>
                <c:pt idx="267">
                  <c:v>5.6426860627325475</c:v>
                </c:pt>
                <c:pt idx="268">
                  <c:v>5.6459486060290969</c:v>
                </c:pt>
                <c:pt idx="269">
                  <c:v>5.6550154313461674</c:v>
                </c:pt>
                <c:pt idx="270">
                  <c:v>5.6647773189785795</c:v>
                </c:pt>
                <c:pt idx="271">
                  <c:v>5.6764375289727669</c:v>
                </c:pt>
                <c:pt idx="272">
                  <c:v>5.6798274817100189</c:v>
                </c:pt>
                <c:pt idx="273">
                  <c:v>7.1999202920049887</c:v>
                </c:pt>
                <c:pt idx="274">
                  <c:v>7.2003369001940492</c:v>
                </c:pt>
                <c:pt idx="275">
                  <c:v>-5.5541214996268407</c:v>
                </c:pt>
                <c:pt idx="276">
                  <c:v>-5.549572910000327</c:v>
                </c:pt>
                <c:pt idx="277">
                  <c:v>-5.4419410876552741</c:v>
                </c:pt>
                <c:pt idx="278">
                  <c:v>-5.0320569303037717</c:v>
                </c:pt>
                <c:pt idx="279">
                  <c:v>-4.5859188470841437</c:v>
                </c:pt>
                <c:pt idx="280">
                  <c:v>-4.5848357231650283</c:v>
                </c:pt>
                <c:pt idx="281">
                  <c:v>-4.5753914689760435</c:v>
                </c:pt>
                <c:pt idx="282">
                  <c:v>-4.56087025522163</c:v>
                </c:pt>
                <c:pt idx="283">
                  <c:v>-4.5548116820488502</c:v>
                </c:pt>
                <c:pt idx="284">
                  <c:v>-3.7805069294686802</c:v>
                </c:pt>
                <c:pt idx="285">
                  <c:v>-3.8032271609502519</c:v>
                </c:pt>
                <c:pt idx="286">
                  <c:v>-3.7601685681069781</c:v>
                </c:pt>
                <c:pt idx="287">
                  <c:v>-3.37302853528859</c:v>
                </c:pt>
                <c:pt idx="288">
                  <c:v>0.18708664335714442</c:v>
                </c:pt>
                <c:pt idx="289">
                  <c:v>-10.604931137647155</c:v>
                </c:pt>
                <c:pt idx="290">
                  <c:v>0.13566260201059582</c:v>
                </c:pt>
                <c:pt idx="291">
                  <c:v>0.88554967500694037</c:v>
                </c:pt>
                <c:pt idx="292">
                  <c:v>0.97158506518541743</c:v>
                </c:pt>
                <c:pt idx="293">
                  <c:v>1.2844307338445196</c:v>
                </c:pt>
                <c:pt idx="294">
                  <c:v>1.3337830259498715</c:v>
                </c:pt>
                <c:pt idx="295">
                  <c:v>1.3867961222381979</c:v>
                </c:pt>
                <c:pt idx="296">
                  <c:v>1.4964683687080529</c:v>
                </c:pt>
                <c:pt idx="297">
                  <c:v>1.6113692154627337</c:v>
                </c:pt>
                <c:pt idx="298">
                  <c:v>1.6845461577180734</c:v>
                </c:pt>
                <c:pt idx="299">
                  <c:v>1.8348444056484934</c:v>
                </c:pt>
                <c:pt idx="300">
                  <c:v>1.8885538857360693</c:v>
                </c:pt>
                <c:pt idx="301">
                  <c:v>2.5647843845040259</c:v>
                </c:pt>
                <c:pt idx="302">
                  <c:v>2.6142290975939164</c:v>
                </c:pt>
                <c:pt idx="303">
                  <c:v>2.7053219312375787</c:v>
                </c:pt>
                <c:pt idx="304">
                  <c:v>3.2947674089065235</c:v>
                </c:pt>
                <c:pt idx="305">
                  <c:v>4.9196186181901123</c:v>
                </c:pt>
                <c:pt idx="306">
                  <c:v>4.9503033411976238</c:v>
                </c:pt>
                <c:pt idx="307">
                  <c:v>4.9504201925612383</c:v>
                </c:pt>
                <c:pt idx="308">
                  <c:v>4.9508820156746216</c:v>
                </c:pt>
                <c:pt idx="309">
                  <c:v>4.9533313051329326</c:v>
                </c:pt>
                <c:pt idx="310">
                  <c:v>4.9660260619770975</c:v>
                </c:pt>
                <c:pt idx="311">
                  <c:v>5.0404340084957528</c:v>
                </c:pt>
                <c:pt idx="312">
                  <c:v>5.4098644531848619</c:v>
                </c:pt>
                <c:pt idx="313">
                  <c:v>5.4179221403860689</c:v>
                </c:pt>
                <c:pt idx="314">
                  <c:v>5.4195119249255859</c:v>
                </c:pt>
                <c:pt idx="315">
                  <c:v>5.4202254337192315</c:v>
                </c:pt>
                <c:pt idx="316">
                  <c:v>5.5387136589738697</c:v>
                </c:pt>
                <c:pt idx="317">
                  <c:v>-5.8334359077942608</c:v>
                </c:pt>
                <c:pt idx="318">
                  <c:v>-4.41237653650371</c:v>
                </c:pt>
                <c:pt idx="319">
                  <c:v>-3.9886035433456639</c:v>
                </c:pt>
                <c:pt idx="320">
                  <c:v>-3.6677330525332672</c:v>
                </c:pt>
                <c:pt idx="321">
                  <c:v>-3.3946267642722092</c:v>
                </c:pt>
                <c:pt idx="322">
                  <c:v>-3.3550682063488506</c:v>
                </c:pt>
                <c:pt idx="323">
                  <c:v>-3.3165993020938607</c:v>
                </c:pt>
                <c:pt idx="324">
                  <c:v>-3.3064250275506875</c:v>
                </c:pt>
                <c:pt idx="325">
                  <c:v>-3.3081373786380386</c:v>
                </c:pt>
                <c:pt idx="326">
                  <c:v>-2.9863237770507651</c:v>
                </c:pt>
                <c:pt idx="327">
                  <c:v>-2.9642596301968491</c:v>
                </c:pt>
                <c:pt idx="328">
                  <c:v>-2.6444385894678386</c:v>
                </c:pt>
                <c:pt idx="329">
                  <c:v>0</c:v>
                </c:pt>
                <c:pt idx="330">
                  <c:v>0.81291335664285558</c:v>
                </c:pt>
                <c:pt idx="331">
                  <c:v>0.97772360528884772</c:v>
                </c:pt>
                <c:pt idx="332">
                  <c:v>1.9395192526186185</c:v>
                </c:pt>
                <c:pt idx="333">
                  <c:v>2.2013971243204513</c:v>
                </c:pt>
                <c:pt idx="334">
                  <c:v>3.3562171342197353</c:v>
                </c:pt>
                <c:pt idx="335">
                  <c:v>3.3829171350875309</c:v>
                </c:pt>
                <c:pt idx="336">
                  <c:v>3.5251744278352715</c:v>
                </c:pt>
                <c:pt idx="337">
                  <c:v>3.5251744278352715</c:v>
                </c:pt>
                <c:pt idx="338">
                  <c:v>-7.2113108038916547</c:v>
                </c:pt>
                <c:pt idx="339">
                  <c:v>-7.2109107952923983</c:v>
                </c:pt>
                <c:pt idx="340">
                  <c:v>-7.2105194047985135</c:v>
                </c:pt>
                <c:pt idx="341">
                  <c:v>-7.2104805673275596</c:v>
                </c:pt>
                <c:pt idx="342">
                  <c:v>-7.2101385834923075</c:v>
                </c:pt>
                <c:pt idx="343">
                  <c:v>-7.2096599964420678</c:v>
                </c:pt>
                <c:pt idx="344">
                  <c:v>-7.2067300779075598</c:v>
                </c:pt>
                <c:pt idx="345">
                  <c:v>-7.2012911599291565</c:v>
                </c:pt>
                <c:pt idx="346">
                  <c:v>7.1745132675604646</c:v>
                </c:pt>
                <c:pt idx="347">
                  <c:v>7.1801023813198341</c:v>
                </c:pt>
                <c:pt idx="348">
                  <c:v>7.1841175844513554</c:v>
                </c:pt>
                <c:pt idx="349">
                  <c:v>7.1858270865954079</c:v>
                </c:pt>
                <c:pt idx="350">
                  <c:v>7.1873846863981257</c:v>
                </c:pt>
                <c:pt idx="351">
                  <c:v>7.1887089760624265</c:v>
                </c:pt>
                <c:pt idx="352">
                  <c:v>7.1911717074123453</c:v>
                </c:pt>
                <c:pt idx="353">
                  <c:v>7.1933318131699719</c:v>
                </c:pt>
                <c:pt idx="354">
                  <c:v>7.1947013673635132</c:v>
                </c:pt>
                <c:pt idx="355">
                  <c:v>-5.9466462785939811</c:v>
                </c:pt>
                <c:pt idx="356">
                  <c:v>-5.9060693188684139</c:v>
                </c:pt>
                <c:pt idx="357">
                  <c:v>-5.8904383455195459</c:v>
                </c:pt>
                <c:pt idx="358">
                  <c:v>-5.831956112907001</c:v>
                </c:pt>
                <c:pt idx="359">
                  <c:v>-5.830095075954068</c:v>
                </c:pt>
                <c:pt idx="360">
                  <c:v>-5.8259756166653762</c:v>
                </c:pt>
                <c:pt idx="361">
                  <c:v>-5.8062145804465812</c:v>
                </c:pt>
                <c:pt idx="362">
                  <c:v>-5.7997174637558837</c:v>
                </c:pt>
                <c:pt idx="363">
                  <c:v>-5.7884985640284308</c:v>
                </c:pt>
                <c:pt idx="364">
                  <c:v>-5.7600475918755407</c:v>
                </c:pt>
                <c:pt idx="365">
                  <c:v>-5.7439320949201376</c:v>
                </c:pt>
                <c:pt idx="366">
                  <c:v>-5.7012976540737732</c:v>
                </c:pt>
                <c:pt idx="367">
                  <c:v>-5.6975074463479487</c:v>
                </c:pt>
                <c:pt idx="368">
                  <c:v>-5.5355257663880533</c:v>
                </c:pt>
                <c:pt idx="369">
                  <c:v>-5.4828435819668435</c:v>
                </c:pt>
                <c:pt idx="370">
                  <c:v>-5.4098097458967871</c:v>
                </c:pt>
                <c:pt idx="371">
                  <c:v>-5.3896886958030406</c:v>
                </c:pt>
                <c:pt idx="372">
                  <c:v>-5.3896780726808364</c:v>
                </c:pt>
                <c:pt idx="373">
                  <c:v>-5.389669219880501</c:v>
                </c:pt>
                <c:pt idx="374">
                  <c:v>-5.3896581536263053</c:v>
                </c:pt>
                <c:pt idx="375">
                  <c:v>-5.3896479724233961</c:v>
                </c:pt>
                <c:pt idx="376">
                  <c:v>-5.3896346922348082</c:v>
                </c:pt>
                <c:pt idx="377">
                  <c:v>-5.3895895365558024</c:v>
                </c:pt>
                <c:pt idx="378">
                  <c:v>-5.3895470328038746</c:v>
                </c:pt>
                <c:pt idx="379">
                  <c:v>-5.3895045248917617</c:v>
                </c:pt>
                <c:pt idx="380">
                  <c:v>-5.3893344516251558</c:v>
                </c:pt>
                <c:pt idx="381">
                  <c:v>-5.1427991616972806</c:v>
                </c:pt>
                <c:pt idx="382">
                  <c:v>-5.111944344867017</c:v>
                </c:pt>
                <c:pt idx="383">
                  <c:v>-5.1263619736332124</c:v>
                </c:pt>
                <c:pt idx="384">
                  <c:v>-5.1083491758039816</c:v>
                </c:pt>
                <c:pt idx="385">
                  <c:v>-5.1083045042148374</c:v>
                </c:pt>
                <c:pt idx="386">
                  <c:v>-5.108230041353802</c:v>
                </c:pt>
                <c:pt idx="387">
                  <c:v>-5.108202960784058</c:v>
                </c:pt>
                <c:pt idx="388">
                  <c:v>-5.1081995755941065</c:v>
                </c:pt>
                <c:pt idx="389">
                  <c:v>-5.1081258283244591</c:v>
                </c:pt>
                <c:pt idx="390">
                  <c:v>-5.1081149372685593</c:v>
                </c:pt>
                <c:pt idx="391">
                  <c:v>-5.1080912355812202</c:v>
                </c:pt>
                <c:pt idx="392">
                  <c:v>-5.1080201227570736</c:v>
                </c:pt>
                <c:pt idx="393">
                  <c:v>-5.107938836697226</c:v>
                </c:pt>
                <c:pt idx="394">
                  <c:v>-5.1076948871928671</c:v>
                </c:pt>
                <c:pt idx="395">
                  <c:v>-5.1075304828209553</c:v>
                </c:pt>
                <c:pt idx="396">
                  <c:v>-5.1074508005815176</c:v>
                </c:pt>
                <c:pt idx="397">
                  <c:v>-5.10736940788287</c:v>
                </c:pt>
                <c:pt idx="398">
                  <c:v>-5.1072065767089745</c:v>
                </c:pt>
                <c:pt idx="399">
                  <c:v>-5.1068807310944928</c:v>
                </c:pt>
                <c:pt idx="400">
                  <c:v>-5.1054113928286986</c:v>
                </c:pt>
                <c:pt idx="401">
                  <c:v>-5.0386320820372203</c:v>
                </c:pt>
                <c:pt idx="402">
                  <c:v>-5.0370637703786549</c:v>
                </c:pt>
                <c:pt idx="403">
                  <c:v>-5.0370418375726764</c:v>
                </c:pt>
                <c:pt idx="404">
                  <c:v>-5.0370185742952831</c:v>
                </c:pt>
                <c:pt idx="405">
                  <c:v>-5.0370179096119045</c:v>
                </c:pt>
                <c:pt idx="406">
                  <c:v>-5.0369122120125986</c:v>
                </c:pt>
                <c:pt idx="407">
                  <c:v>-5.0368214510945881</c:v>
                </c:pt>
                <c:pt idx="408">
                  <c:v>-5.0361480313090441</c:v>
                </c:pt>
                <c:pt idx="409">
                  <c:v>-5.0360543792833807</c:v>
                </c:pt>
                <c:pt idx="410">
                  <c:v>-4.8398738228781788</c:v>
                </c:pt>
                <c:pt idx="411">
                  <c:v>-4.7611983928710941</c:v>
                </c:pt>
                <c:pt idx="412">
                  <c:v>-4.7601132401246353</c:v>
                </c:pt>
                <c:pt idx="413">
                  <c:v>-4.7595696452707603</c:v>
                </c:pt>
                <c:pt idx="414">
                  <c:v>-4.7589799820136856</c:v>
                </c:pt>
                <c:pt idx="415">
                  <c:v>-4.7589572866612313</c:v>
                </c:pt>
                <c:pt idx="416">
                  <c:v>-4.7589345901227018</c:v>
                </c:pt>
                <c:pt idx="417">
                  <c:v>-4.7588740602204238</c:v>
                </c:pt>
                <c:pt idx="418">
                  <c:v>-4.7582986049934455</c:v>
                </c:pt>
                <c:pt idx="419">
                  <c:v>-4.7576123628879419</c:v>
                </c:pt>
                <c:pt idx="420">
                  <c:v>-4.7572289603232187</c:v>
                </c:pt>
                <c:pt idx="421">
                  <c:v>-3.6861892342440234</c:v>
                </c:pt>
                <c:pt idx="422">
                  <c:v>-6.6946789630613221E-2</c:v>
                </c:pt>
                <c:pt idx="423">
                  <c:v>10.178962405374874</c:v>
                </c:pt>
                <c:pt idx="424">
                  <c:v>0.3010299956639812</c:v>
                </c:pt>
                <c:pt idx="425">
                  <c:v>1.505149978319906</c:v>
                </c:pt>
                <c:pt idx="426">
                  <c:v>1.9493900066449128</c:v>
                </c:pt>
                <c:pt idx="427">
                  <c:v>2.0530784434834195</c:v>
                </c:pt>
                <c:pt idx="428">
                  <c:v>2.1931245983542773</c:v>
                </c:pt>
                <c:pt idx="429">
                  <c:v>2.3201462861110542</c:v>
                </c:pt>
                <c:pt idx="430">
                  <c:v>-6.2357934876481087</c:v>
                </c:pt>
                <c:pt idx="431">
                  <c:v>-4.540354505451778</c:v>
                </c:pt>
                <c:pt idx="432">
                  <c:v>-4.5297126053769468</c:v>
                </c:pt>
                <c:pt idx="433">
                  <c:v>-4.5290965483219514</c:v>
                </c:pt>
                <c:pt idx="434">
                  <c:v>-3.3412366232386925</c:v>
                </c:pt>
                <c:pt idx="435">
                  <c:v>-3.0689276116820721</c:v>
                </c:pt>
                <c:pt idx="436">
                  <c:v>-3.0689276116820721</c:v>
                </c:pt>
                <c:pt idx="437">
                  <c:v>-3.0633333589517497</c:v>
                </c:pt>
                <c:pt idx="438">
                  <c:v>-2.4913616938342726</c:v>
                </c:pt>
                <c:pt idx="439">
                  <c:v>-1.3424226808222062</c:v>
                </c:pt>
                <c:pt idx="440">
                  <c:v>0</c:v>
                </c:pt>
                <c:pt idx="441">
                  <c:v>0</c:v>
                </c:pt>
                <c:pt idx="442">
                  <c:v>0.69897000433601886</c:v>
                </c:pt>
                <c:pt idx="443">
                  <c:v>0.77815125038364363</c:v>
                </c:pt>
                <c:pt idx="444">
                  <c:v>0.77815125038364363</c:v>
                </c:pt>
                <c:pt idx="445">
                  <c:v>1.3222192947339193</c:v>
                </c:pt>
                <c:pt idx="446">
                  <c:v>1.4913616938342726</c:v>
                </c:pt>
                <c:pt idx="447">
                  <c:v>1.5440680443502757</c:v>
                </c:pt>
                <c:pt idx="448">
                  <c:v>1.6532125137753437</c:v>
                </c:pt>
                <c:pt idx="449">
                  <c:v>1.968482948553935</c:v>
                </c:pt>
                <c:pt idx="450">
                  <c:v>2.0681858617461617</c:v>
                </c:pt>
                <c:pt idx="451">
                  <c:v>2.2304489213782741</c:v>
                </c:pt>
                <c:pt idx="452">
                  <c:v>2.3483048630481607</c:v>
                </c:pt>
                <c:pt idx="453">
                  <c:v>2.568201724066995</c:v>
                </c:pt>
                <c:pt idx="454">
                  <c:v>2.5786392099680722</c:v>
                </c:pt>
                <c:pt idx="455">
                  <c:v>7.180401395502388</c:v>
                </c:pt>
                <c:pt idx="456">
                  <c:v>7.1822091557120675</c:v>
                </c:pt>
                <c:pt idx="457">
                  <c:v>7.1839575630815409</c:v>
                </c:pt>
                <c:pt idx="458">
                  <c:v>7.18973807440877</c:v>
                </c:pt>
                <c:pt idx="459">
                  <c:v>7.1897400664741573</c:v>
                </c:pt>
                <c:pt idx="460">
                  <c:v>7.190093134941387</c:v>
                </c:pt>
                <c:pt idx="461">
                  <c:v>7.1902781225400494</c:v>
                </c:pt>
                <c:pt idx="462">
                  <c:v>7.1906868338333423</c:v>
                </c:pt>
                <c:pt idx="463">
                  <c:v>7.1912186578694195</c:v>
                </c:pt>
                <c:pt idx="464">
                  <c:v>7.1923499728998745</c:v>
                </c:pt>
                <c:pt idx="465">
                  <c:v>7.2091343843800795</c:v>
                </c:pt>
                <c:pt idx="466">
                  <c:v>7.2182600321052881</c:v>
                </c:pt>
                <c:pt idx="467">
                  <c:v>-3.6709876030100341</c:v>
                </c:pt>
                <c:pt idx="468">
                  <c:v>-1.8061799739838871</c:v>
                </c:pt>
                <c:pt idx="469">
                  <c:v>-1.6434526764861874</c:v>
                </c:pt>
                <c:pt idx="470">
                  <c:v>-1.3010299956639813</c:v>
                </c:pt>
                <c:pt idx="471">
                  <c:v>0</c:v>
                </c:pt>
                <c:pt idx="472">
                  <c:v>0</c:v>
                </c:pt>
                <c:pt idx="473">
                  <c:v>6.6946789630613221E-2</c:v>
                </c:pt>
                <c:pt idx="474">
                  <c:v>0.3010299956639812</c:v>
                </c:pt>
                <c:pt idx="475">
                  <c:v>0.33579210190991832</c:v>
                </c:pt>
                <c:pt idx="476">
                  <c:v>0.77815125038364363</c:v>
                </c:pt>
                <c:pt idx="477">
                  <c:v>0.77815125038364363</c:v>
                </c:pt>
                <c:pt idx="478">
                  <c:v>0.87506126339170009</c:v>
                </c:pt>
                <c:pt idx="479">
                  <c:v>1</c:v>
                </c:pt>
                <c:pt idx="480">
                  <c:v>1.0204993950616252</c:v>
                </c:pt>
                <c:pt idx="481">
                  <c:v>1.0606978403536116</c:v>
                </c:pt>
                <c:pt idx="482">
                  <c:v>1.1613680022349748</c:v>
                </c:pt>
                <c:pt idx="483">
                  <c:v>1.505149978319906</c:v>
                </c:pt>
                <c:pt idx="484">
                  <c:v>1.5563025007672873</c:v>
                </c:pt>
                <c:pt idx="485">
                  <c:v>1.5563025007672873</c:v>
                </c:pt>
                <c:pt idx="486">
                  <c:v>1.7160033436347992</c:v>
                </c:pt>
                <c:pt idx="487">
                  <c:v>1.8721562727482928</c:v>
                </c:pt>
                <c:pt idx="488">
                  <c:v>1.8736111969964673</c:v>
                </c:pt>
                <c:pt idx="489">
                  <c:v>1.8808135922807914</c:v>
                </c:pt>
                <c:pt idx="490">
                  <c:v>1.919078092376074</c:v>
                </c:pt>
                <c:pt idx="491">
                  <c:v>1.919078092376074</c:v>
                </c:pt>
                <c:pt idx="492">
                  <c:v>2.0644579892269186</c:v>
                </c:pt>
                <c:pt idx="493">
                  <c:v>2.1702617153949575</c:v>
                </c:pt>
                <c:pt idx="494">
                  <c:v>2.2922560713564759</c:v>
                </c:pt>
                <c:pt idx="495">
                  <c:v>2.3424226808222062</c:v>
                </c:pt>
                <c:pt idx="496">
                  <c:v>2.3541084391474008</c:v>
                </c:pt>
                <c:pt idx="497">
                  <c:v>2.4653828514484184</c:v>
                </c:pt>
                <c:pt idx="498">
                  <c:v>2.4996870826184039</c:v>
                </c:pt>
                <c:pt idx="499">
                  <c:v>2.6170003411208991</c:v>
                </c:pt>
                <c:pt idx="500">
                  <c:v>3.1806992012960347</c:v>
                </c:pt>
                <c:pt idx="501">
                  <c:v>3.5696079675468244</c:v>
                </c:pt>
                <c:pt idx="502">
                  <c:v>3.9086994323522242</c:v>
                </c:pt>
                <c:pt idx="503">
                  <c:v>5.2787536009528289</c:v>
                </c:pt>
                <c:pt idx="504">
                  <c:v>5.3261063617067634</c:v>
                </c:pt>
                <c:pt idx="505">
                  <c:v>5.4120907777338019</c:v>
                </c:pt>
                <c:pt idx="506">
                  <c:v>5.4480876666923415</c:v>
                </c:pt>
                <c:pt idx="507">
                  <c:v>5.4500334475925287</c:v>
                </c:pt>
                <c:pt idx="508">
                  <c:v>5.5498758810167077</c:v>
                </c:pt>
                <c:pt idx="509">
                  <c:v>-6.2469776652931115</c:v>
                </c:pt>
                <c:pt idx="510">
                  <c:v>-6.2285520272747252</c:v>
                </c:pt>
                <c:pt idx="511">
                  <c:v>-6.2253596879814914</c:v>
                </c:pt>
                <c:pt idx="512">
                  <c:v>-6.2173457376174488</c:v>
                </c:pt>
                <c:pt idx="513">
                  <c:v>-6.215223689562924</c:v>
                </c:pt>
                <c:pt idx="514">
                  <c:v>-6.2151982889290247</c:v>
                </c:pt>
                <c:pt idx="515">
                  <c:v>-6.2129891101642318</c:v>
                </c:pt>
                <c:pt idx="516">
                  <c:v>-6.2065460571005273</c:v>
                </c:pt>
                <c:pt idx="517">
                  <c:v>-6.1923128788265362</c:v>
                </c:pt>
                <c:pt idx="518">
                  <c:v>-6.1841605860056941</c:v>
                </c:pt>
                <c:pt idx="519">
                  <c:v>-6.0872115648271228</c:v>
                </c:pt>
                <c:pt idx="520">
                  <c:v>-6.0833058527616171</c:v>
                </c:pt>
                <c:pt idx="521">
                  <c:v>-6.0777816507437894</c:v>
                </c:pt>
                <c:pt idx="522">
                  <c:v>-6.0743171537795373</c:v>
                </c:pt>
                <c:pt idx="523">
                  <c:v>-6.0697609387035278</c:v>
                </c:pt>
                <c:pt idx="524">
                  <c:v>-6.0671791370565114</c:v>
                </c:pt>
                <c:pt idx="525">
                  <c:v>-6.0643842277798123</c:v>
                </c:pt>
                <c:pt idx="526">
                  <c:v>-6.0610824926367863</c:v>
                </c:pt>
                <c:pt idx="527">
                  <c:v>-6.0489430116975491</c:v>
                </c:pt>
                <c:pt idx="528">
                  <c:v>-6.0453804896532199</c:v>
                </c:pt>
                <c:pt idx="529">
                  <c:v>-6.0420818766221931</c:v>
                </c:pt>
                <c:pt idx="530">
                  <c:v>-6.0397958924995621</c:v>
                </c:pt>
                <c:pt idx="531">
                  <c:v>-6.0363106421071162</c:v>
                </c:pt>
                <c:pt idx="532">
                  <c:v>-6.0338590381329889</c:v>
                </c:pt>
                <c:pt idx="533">
                  <c:v>-6.0303256211671359</c:v>
                </c:pt>
                <c:pt idx="534">
                  <c:v>-6.0000412560161509</c:v>
                </c:pt>
                <c:pt idx="535">
                  <c:v>-5.8878259590788566</c:v>
                </c:pt>
                <c:pt idx="536">
                  <c:v>-5.8475029443474442</c:v>
                </c:pt>
                <c:pt idx="537">
                  <c:v>-5.8275883038674605</c:v>
                </c:pt>
                <c:pt idx="538">
                  <c:v>-5.8154841059328692</c:v>
                </c:pt>
                <c:pt idx="539">
                  <c:v>-5.8079265283534607</c:v>
                </c:pt>
                <c:pt idx="540">
                  <c:v>-5.8022775939829652</c:v>
                </c:pt>
                <c:pt idx="541">
                  <c:v>-5.7884787736693708</c:v>
                </c:pt>
                <c:pt idx="542">
                  <c:v>-5.7614008052123706</c:v>
                </c:pt>
                <c:pt idx="543">
                  <c:v>-5.7547052585859717</c:v>
                </c:pt>
                <c:pt idx="544">
                  <c:v>-5.7499673111550225</c:v>
                </c:pt>
                <c:pt idx="545">
                  <c:v>-5.7432047107692217</c:v>
                </c:pt>
                <c:pt idx="546">
                  <c:v>-5.7359715624164682</c:v>
                </c:pt>
                <c:pt idx="547">
                  <c:v>-5.7260185600650626</c:v>
                </c:pt>
                <c:pt idx="548">
                  <c:v>-5.7205983392640709</c:v>
                </c:pt>
                <c:pt idx="549">
                  <c:v>-5.6809832984437572</c:v>
                </c:pt>
                <c:pt idx="550">
                  <c:v>-5.6731785523063021</c:v>
                </c:pt>
                <c:pt idx="551">
                  <c:v>-5.6504270105438721</c:v>
                </c:pt>
                <c:pt idx="552">
                  <c:v>-5.6418338904262253</c:v>
                </c:pt>
                <c:pt idx="553">
                  <c:v>-5.4329869187059501</c:v>
                </c:pt>
                <c:pt idx="554">
                  <c:v>-5.4065248521229163</c:v>
                </c:pt>
                <c:pt idx="555">
                  <c:v>-4.7819778487166911</c:v>
                </c:pt>
                <c:pt idx="556">
                  <c:v>-4.7272727898362747</c:v>
                </c:pt>
                <c:pt idx="557">
                  <c:v>-3.3102683666324477</c:v>
                </c:pt>
                <c:pt idx="558">
                  <c:v>-3.3051363189436391</c:v>
                </c:pt>
                <c:pt idx="559">
                  <c:v>-2.9623693356700209</c:v>
                </c:pt>
                <c:pt idx="560">
                  <c:v>-2.9623693356700209</c:v>
                </c:pt>
                <c:pt idx="561">
                  <c:v>-2.5502283530550942</c:v>
                </c:pt>
                <c:pt idx="562">
                  <c:v>-2.4638929889859074</c:v>
                </c:pt>
                <c:pt idx="563">
                  <c:v>-2.167317334748176</c:v>
                </c:pt>
                <c:pt idx="564">
                  <c:v>-1.7075701760979363</c:v>
                </c:pt>
                <c:pt idx="565">
                  <c:v>0</c:v>
                </c:pt>
                <c:pt idx="566">
                  <c:v>1.7075701760979363</c:v>
                </c:pt>
                <c:pt idx="567">
                  <c:v>1.8061799739838871</c:v>
                </c:pt>
                <c:pt idx="568">
                  <c:v>1.8195439355418688</c:v>
                </c:pt>
                <c:pt idx="569">
                  <c:v>5.2420367772009424</c:v>
                </c:pt>
                <c:pt idx="570">
                  <c:v>5.250256501140802</c:v>
                </c:pt>
                <c:pt idx="571">
                  <c:v>5.4421111679091796</c:v>
                </c:pt>
                <c:pt idx="572">
                  <c:v>5.8508036307511064</c:v>
                </c:pt>
                <c:pt idx="573">
                  <c:v>5.8614011749222685</c:v>
                </c:pt>
                <c:pt idx="574">
                  <c:v>5.8672558871746414</c:v>
                </c:pt>
                <c:pt idx="575">
                  <c:v>5.8753582192699856</c:v>
                </c:pt>
                <c:pt idx="576">
                  <c:v>5.9059409806172294</c:v>
                </c:pt>
                <c:pt idx="577">
                  <c:v>5.9257518369548485</c:v>
                </c:pt>
                <c:pt idx="578">
                  <c:v>5.9697126409888144</c:v>
                </c:pt>
                <c:pt idx="579">
                  <c:v>5.9698509208636779</c:v>
                </c:pt>
                <c:pt idx="580">
                  <c:v>5.986951235400003</c:v>
                </c:pt>
                <c:pt idx="581">
                  <c:v>6.0058156112702674</c:v>
                </c:pt>
                <c:pt idx="582">
                  <c:v>-7.1926714429852643</c:v>
                </c:pt>
                <c:pt idx="583">
                  <c:v>-7.1925597318576679</c:v>
                </c:pt>
                <c:pt idx="584">
                  <c:v>-7.1867358849574705</c:v>
                </c:pt>
                <c:pt idx="585">
                  <c:v>-7.1851790144773586</c:v>
                </c:pt>
                <c:pt idx="586">
                  <c:v>-7.1806149411390532</c:v>
                </c:pt>
                <c:pt idx="587">
                  <c:v>-7.1778651984745512</c:v>
                </c:pt>
                <c:pt idx="588">
                  <c:v>-7.1759155079514567</c:v>
                </c:pt>
                <c:pt idx="589">
                  <c:v>-7.1738498237287622</c:v>
                </c:pt>
                <c:pt idx="590">
                  <c:v>-7.1737429451676631</c:v>
                </c:pt>
                <c:pt idx="591">
                  <c:v>-7.1736349920803635</c:v>
                </c:pt>
                <c:pt idx="592">
                  <c:v>-7.173566083232517</c:v>
                </c:pt>
                <c:pt idx="593">
                  <c:v>-7.1734546610644729</c:v>
                </c:pt>
                <c:pt idx="594">
                  <c:v>-7.1733235017581451</c:v>
                </c:pt>
                <c:pt idx="595">
                  <c:v>-7.1714727340300781</c:v>
                </c:pt>
                <c:pt idx="596">
                  <c:v>-7.1714590389594015</c:v>
                </c:pt>
                <c:pt idx="597">
                  <c:v>-7.1682276008665529</c:v>
                </c:pt>
                <c:pt idx="598">
                  <c:v>-7.1678219752529335</c:v>
                </c:pt>
                <c:pt idx="599">
                  <c:v>-7.1678113516911344</c:v>
                </c:pt>
                <c:pt idx="600">
                  <c:v>-7.1669367955399661</c:v>
                </c:pt>
                <c:pt idx="601">
                  <c:v>-7.1669367955399661</c:v>
                </c:pt>
                <c:pt idx="602">
                  <c:v>-7.1661309782250431</c:v>
                </c:pt>
                <c:pt idx="603">
                  <c:v>-7.1650226447987357</c:v>
                </c:pt>
                <c:pt idx="604">
                  <c:v>-5.1862922440878396</c:v>
                </c:pt>
                <c:pt idx="605">
                  <c:v>-1.9867717342662448</c:v>
                </c:pt>
                <c:pt idx="606">
                  <c:v>-10.479992401038855</c:v>
                </c:pt>
                <c:pt idx="607">
                  <c:v>0.84509804001220235</c:v>
                </c:pt>
                <c:pt idx="608">
                  <c:v>1.1139433523057305</c:v>
                </c:pt>
                <c:pt idx="609">
                  <c:v>1.2430380486854726</c:v>
                </c:pt>
                <c:pt idx="610">
                  <c:v>1.2787536009520721</c:v>
                </c:pt>
                <c:pt idx="611">
                  <c:v>1.3010299956639813</c:v>
                </c:pt>
                <c:pt idx="612">
                  <c:v>5.9105961268094491</c:v>
                </c:pt>
                <c:pt idx="613">
                  <c:v>6.0356902367319387</c:v>
                </c:pt>
                <c:pt idx="614">
                  <c:v>6.0976775145092459</c:v>
                </c:pt>
                <c:pt idx="615">
                  <c:v>-6.2526465100381472</c:v>
                </c:pt>
                <c:pt idx="616">
                  <c:v>-6.2508660229781725</c:v>
                </c:pt>
                <c:pt idx="617">
                  <c:v>-4.4157910557423419</c:v>
                </c:pt>
                <c:pt idx="618">
                  <c:v>-3.4029488293444046</c:v>
                </c:pt>
                <c:pt idx="619">
                  <c:v>-3.3774883833761327</c:v>
                </c:pt>
                <c:pt idx="620">
                  <c:v>-3.3689528502171537</c:v>
                </c:pt>
                <c:pt idx="621">
                  <c:v>-3.3596457926745429</c:v>
                </c:pt>
                <c:pt idx="622">
                  <c:v>-3.3562171342197353</c:v>
                </c:pt>
                <c:pt idx="623">
                  <c:v>-3.3553557233947067</c:v>
                </c:pt>
                <c:pt idx="624">
                  <c:v>-3.3410386316775229</c:v>
                </c:pt>
                <c:pt idx="625">
                  <c:v>-3.3215984304653436</c:v>
                </c:pt>
                <c:pt idx="626">
                  <c:v>-3.323252100171687</c:v>
                </c:pt>
                <c:pt idx="627">
                  <c:v>-3.153814864344529</c:v>
                </c:pt>
                <c:pt idx="628">
                  <c:v>-3.0273496077747564</c:v>
                </c:pt>
                <c:pt idx="629">
                  <c:v>-2.436162647040756</c:v>
                </c:pt>
                <c:pt idx="630">
                  <c:v>-2.3961993470957363</c:v>
                </c:pt>
                <c:pt idx="631">
                  <c:v>-1.9084850188786497</c:v>
                </c:pt>
                <c:pt idx="632">
                  <c:v>0</c:v>
                </c:pt>
                <c:pt idx="633">
                  <c:v>1.8450980400142569</c:v>
                </c:pt>
                <c:pt idx="634">
                  <c:v>1.9294189257142926</c:v>
                </c:pt>
                <c:pt idx="635">
                  <c:v>1.9493900066449128</c:v>
                </c:pt>
                <c:pt idx="636">
                  <c:v>1.9493900066449128</c:v>
                </c:pt>
                <c:pt idx="637">
                  <c:v>1.9569683836982283</c:v>
                </c:pt>
                <c:pt idx="638">
                  <c:v>1.9572080826180671</c:v>
                </c:pt>
                <c:pt idx="639">
                  <c:v>2.0253058652647704</c:v>
                </c:pt>
                <c:pt idx="640">
                  <c:v>2.0338256939533101</c:v>
                </c:pt>
                <c:pt idx="641">
                  <c:v>2.0372936658607066</c:v>
                </c:pt>
                <c:pt idx="642">
                  <c:v>2.0492180226701815</c:v>
                </c:pt>
                <c:pt idx="643">
                  <c:v>2.0549958615291417</c:v>
                </c:pt>
                <c:pt idx="644">
                  <c:v>2.0951693514317551</c:v>
                </c:pt>
                <c:pt idx="645">
                  <c:v>2.1303337684950061</c:v>
                </c:pt>
                <c:pt idx="646">
                  <c:v>2.0934216851622351</c:v>
                </c:pt>
                <c:pt idx="647">
                  <c:v>2.2095150145426308</c:v>
                </c:pt>
                <c:pt idx="648">
                  <c:v>2.2624510897304293</c:v>
                </c:pt>
                <c:pt idx="649">
                  <c:v>-3.1034616220947049</c:v>
                </c:pt>
                <c:pt idx="650">
                  <c:v>-7.2114059439978515</c:v>
                </c:pt>
                <c:pt idx="651">
                  <c:v>-7.2112886976508115</c:v>
                </c:pt>
                <c:pt idx="652">
                  <c:v>-7.2104137972763098</c:v>
                </c:pt>
                <c:pt idx="653">
                  <c:v>-7.2101453294388547</c:v>
                </c:pt>
                <c:pt idx="654">
                  <c:v>-7.2096432733236107</c:v>
                </c:pt>
                <c:pt idx="655">
                  <c:v>-7.209226273598448</c:v>
                </c:pt>
                <c:pt idx="656">
                  <c:v>-7.2090350148301487</c:v>
                </c:pt>
                <c:pt idx="657">
                  <c:v>-7.2088211174002952</c:v>
                </c:pt>
                <c:pt idx="658">
                  <c:v>-7.2082155775032764</c:v>
                </c:pt>
                <c:pt idx="659">
                  <c:v>-7.2079793234965868</c:v>
                </c:pt>
                <c:pt idx="660">
                  <c:v>-7.2076450563404535</c:v>
                </c:pt>
                <c:pt idx="661">
                  <c:v>-7.2074084916845846</c:v>
                </c:pt>
                <c:pt idx="662">
                  <c:v>-7.2071724449788555</c:v>
                </c:pt>
                <c:pt idx="663">
                  <c:v>-7.2069204124597999</c:v>
                </c:pt>
                <c:pt idx="664">
                  <c:v>-7.2068207238120934</c:v>
                </c:pt>
                <c:pt idx="665">
                  <c:v>-7.2062584139778485</c:v>
                </c:pt>
                <c:pt idx="666">
                  <c:v>-7.2059880129192369</c:v>
                </c:pt>
                <c:pt idx="667">
                  <c:v>-7.2054493030157323</c:v>
                </c:pt>
                <c:pt idx="668">
                  <c:v>-7.2053466776663608</c:v>
                </c:pt>
                <c:pt idx="669">
                  <c:v>-7.205224534888008</c:v>
                </c:pt>
                <c:pt idx="670">
                  <c:v>-7.204894317583066</c:v>
                </c:pt>
                <c:pt idx="671">
                  <c:v>-7.204029232771755</c:v>
                </c:pt>
                <c:pt idx="672">
                  <c:v>-7.2037424438419739</c:v>
                </c:pt>
                <c:pt idx="673">
                  <c:v>-7.2024201160284731</c:v>
                </c:pt>
                <c:pt idx="674">
                  <c:v>-7.2014635744864837</c:v>
                </c:pt>
                <c:pt idx="675">
                  <c:v>-7.2007590623673261</c:v>
                </c:pt>
                <c:pt idx="676">
                  <c:v>-7.2000889128732384</c:v>
                </c:pt>
                <c:pt idx="677">
                  <c:v>-7.1992985167787378</c:v>
                </c:pt>
                <c:pt idx="678">
                  <c:v>-7.1990547241047045</c:v>
                </c:pt>
                <c:pt idx="679">
                  <c:v>-7.1988938778044158</c:v>
                </c:pt>
                <c:pt idx="680">
                  <c:v>-7.1986267677433604</c:v>
                </c:pt>
                <c:pt idx="681">
                  <c:v>-7.1969829023834464</c:v>
                </c:pt>
                <c:pt idx="682">
                  <c:v>-7.1958370486353216</c:v>
                </c:pt>
                <c:pt idx="683">
                  <c:v>-7.1955069224711474</c:v>
                </c:pt>
                <c:pt idx="684">
                  <c:v>-7.1949417381340535</c:v>
                </c:pt>
                <c:pt idx="685">
                  <c:v>-7.1947800266205846</c:v>
                </c:pt>
                <c:pt idx="686">
                  <c:v>-7.1943198509633302</c:v>
                </c:pt>
                <c:pt idx="687">
                  <c:v>-7.1940005716024951</c:v>
                </c:pt>
                <c:pt idx="688">
                  <c:v>-7.1937217601162695</c:v>
                </c:pt>
                <c:pt idx="689">
                  <c:v>-7.1921944633864303</c:v>
                </c:pt>
                <c:pt idx="690">
                  <c:v>-7.1918468133646831</c:v>
                </c:pt>
                <c:pt idx="691">
                  <c:v>-7.191458643895535</c:v>
                </c:pt>
                <c:pt idx="692">
                  <c:v>-7.1912714745621029</c:v>
                </c:pt>
                <c:pt idx="693">
                  <c:v>-7.1906174259648132</c:v>
                </c:pt>
                <c:pt idx="694">
                  <c:v>-7.18990719907623</c:v>
                </c:pt>
                <c:pt idx="695">
                  <c:v>-3.8755734287621704</c:v>
                </c:pt>
                <c:pt idx="696">
                  <c:v>-3.3289603132726939</c:v>
                </c:pt>
                <c:pt idx="697">
                  <c:v>-3.2321953564781341</c:v>
                </c:pt>
                <c:pt idx="698">
                  <c:v>-3.229643452776418</c:v>
                </c:pt>
                <c:pt idx="699">
                  <c:v>-3.2306660143505042</c:v>
                </c:pt>
                <c:pt idx="700">
                  <c:v>-3.2118810921834382</c:v>
                </c:pt>
                <c:pt idx="701">
                  <c:v>-2.8554282895764751</c:v>
                </c:pt>
                <c:pt idx="702">
                  <c:v>-2.8094587041726884</c:v>
                </c:pt>
                <c:pt idx="703">
                  <c:v>-2.7394536685422888</c:v>
                </c:pt>
                <c:pt idx="704">
                  <c:v>-2.5807539599294036</c:v>
                </c:pt>
                <c:pt idx="705">
                  <c:v>-2.5807539599294036</c:v>
                </c:pt>
                <c:pt idx="706">
                  <c:v>-2.5807539599294036</c:v>
                </c:pt>
                <c:pt idx="707">
                  <c:v>-2.4897476056737124</c:v>
                </c:pt>
                <c:pt idx="708">
                  <c:v>-2.4163908410583939</c:v>
                </c:pt>
                <c:pt idx="709">
                  <c:v>-2.0676287167282457</c:v>
                </c:pt>
                <c:pt idx="710">
                  <c:v>-2.0486359884323915</c:v>
                </c:pt>
                <c:pt idx="711">
                  <c:v>-1.6517624473801109</c:v>
                </c:pt>
                <c:pt idx="712">
                  <c:v>-1.6369891018122291</c:v>
                </c:pt>
                <c:pt idx="713">
                  <c:v>-0.71321044345341245</c:v>
                </c:pt>
                <c:pt idx="714">
                  <c:v>-10.479992401038855</c:v>
                </c:pt>
                <c:pt idx="715">
                  <c:v>0.49831055378960049</c:v>
                </c:pt>
                <c:pt idx="716">
                  <c:v>1.1466447454132425</c:v>
                </c:pt>
                <c:pt idx="717">
                  <c:v>1.3771847870814182</c:v>
                </c:pt>
                <c:pt idx="718">
                  <c:v>1.5852726825327852</c:v>
                </c:pt>
                <c:pt idx="719">
                  <c:v>1.7185016888678242</c:v>
                </c:pt>
                <c:pt idx="720">
                  <c:v>1.7255032688598566</c:v>
                </c:pt>
                <c:pt idx="721">
                  <c:v>1.7357319352274492</c:v>
                </c:pt>
                <c:pt idx="722">
                  <c:v>1.7636775163984122</c:v>
                </c:pt>
                <c:pt idx="723">
                  <c:v>1.7957641900374468</c:v>
                </c:pt>
                <c:pt idx="724">
                  <c:v>1.8088858673602588</c:v>
                </c:pt>
                <c:pt idx="725">
                  <c:v>1.8392684963539494</c:v>
                </c:pt>
                <c:pt idx="726">
                  <c:v>1.8531910361006925</c:v>
                </c:pt>
                <c:pt idx="727">
                  <c:v>1.8668778143374989</c:v>
                </c:pt>
                <c:pt idx="728">
                  <c:v>1.871767468351389</c:v>
                </c:pt>
                <c:pt idx="729">
                  <c:v>1.8856438718355768</c:v>
                </c:pt>
                <c:pt idx="730">
                  <c:v>1.8929289823552058</c:v>
                </c:pt>
                <c:pt idx="731">
                  <c:v>1.8966180636321477</c:v>
                </c:pt>
                <c:pt idx="732">
                  <c:v>1.9011857801371503</c:v>
                </c:pt>
                <c:pt idx="733">
                  <c:v>1.9039035266905224</c:v>
                </c:pt>
                <c:pt idx="734">
                  <c:v>1.9039035266905224</c:v>
                </c:pt>
                <c:pt idx="735">
                  <c:v>1.9327273673015293</c:v>
                </c:pt>
                <c:pt idx="736">
                  <c:v>1.9962927185413215</c:v>
                </c:pt>
                <c:pt idx="737">
                  <c:v>2.744410344150793</c:v>
                </c:pt>
                <c:pt idx="738">
                  <c:v>2.813681044894381</c:v>
                </c:pt>
                <c:pt idx="739">
                  <c:v>3.1294159554448666</c:v>
                </c:pt>
                <c:pt idx="740">
                  <c:v>3.4337938274323387</c:v>
                </c:pt>
                <c:pt idx="741">
                  <c:v>3.9747488089688305</c:v>
                </c:pt>
                <c:pt idx="742">
                  <c:v>4.1691790323962508</c:v>
                </c:pt>
                <c:pt idx="743">
                  <c:v>7.1430998646920409</c:v>
                </c:pt>
                <c:pt idx="744">
                  <c:v>7.143102113828566</c:v>
                </c:pt>
                <c:pt idx="745">
                  <c:v>7.143102113828566</c:v>
                </c:pt>
                <c:pt idx="746">
                  <c:v>7.1430672509034219</c:v>
                </c:pt>
                <c:pt idx="747">
                  <c:v>7.1710557138060276</c:v>
                </c:pt>
                <c:pt idx="748">
                  <c:v>7.1844850445980759</c:v>
                </c:pt>
                <c:pt idx="749">
                  <c:v>7.1844870893034614</c:v>
                </c:pt>
                <c:pt idx="750">
                  <c:v>7.1844945864741794</c:v>
                </c:pt>
                <c:pt idx="751">
                  <c:v>7.1844945864741794</c:v>
                </c:pt>
                <c:pt idx="752">
                  <c:v>7.1921574629833174</c:v>
                </c:pt>
                <c:pt idx="753">
                  <c:v>7.1921641592808454</c:v>
                </c:pt>
                <c:pt idx="754">
                  <c:v>7.1921641592808454</c:v>
                </c:pt>
                <c:pt idx="755">
                  <c:v>7.1921728643132781</c:v>
                </c:pt>
                <c:pt idx="756">
                  <c:v>-5.8133789156877347</c:v>
                </c:pt>
                <c:pt idx="757">
                  <c:v>-5.769180199296815</c:v>
                </c:pt>
                <c:pt idx="758">
                  <c:v>-5.7691092560899415</c:v>
                </c:pt>
                <c:pt idx="759">
                  <c:v>-5.4692639449380849</c:v>
                </c:pt>
                <c:pt idx="760">
                  <c:v>-5.4653726880453881</c:v>
                </c:pt>
                <c:pt idx="761">
                  <c:v>-5.4629205838992636</c:v>
                </c:pt>
                <c:pt idx="762">
                  <c:v>-5.4576657045057422</c:v>
                </c:pt>
                <c:pt idx="763">
                  <c:v>-1.4722687519257351</c:v>
                </c:pt>
                <c:pt idx="764">
                  <c:v>-10.781022396702836</c:v>
                </c:pt>
                <c:pt idx="765">
                  <c:v>-1.4771212541803715</c:v>
                </c:pt>
                <c:pt idx="766">
                  <c:v>-0.4771212547628057</c:v>
                </c:pt>
                <c:pt idx="767">
                  <c:v>-0.30102999567117172</c:v>
                </c:pt>
                <c:pt idx="768">
                  <c:v>-7.9181246030367539E-2</c:v>
                </c:pt>
                <c:pt idx="769">
                  <c:v>-1.7976365819005158E-11</c:v>
                </c:pt>
                <c:pt idx="770">
                  <c:v>0.1760912590604749</c:v>
                </c:pt>
                <c:pt idx="771">
                  <c:v>0.19497660320917046</c:v>
                </c:pt>
                <c:pt idx="772">
                  <c:v>0.29003461136251801</c:v>
                </c:pt>
                <c:pt idx="773">
                  <c:v>0.30820858029287279</c:v>
                </c:pt>
                <c:pt idx="774">
                  <c:v>0.31175386105049291</c:v>
                </c:pt>
                <c:pt idx="775">
                  <c:v>0.31875876262441283</c:v>
                </c:pt>
                <c:pt idx="776">
                  <c:v>0.36172783601915603</c:v>
                </c:pt>
                <c:pt idx="777">
                  <c:v>0.37413709399333639</c:v>
                </c:pt>
                <c:pt idx="778">
                  <c:v>0.38916608436013012</c:v>
                </c:pt>
                <c:pt idx="779">
                  <c:v>0.44195683764991395</c:v>
                </c:pt>
                <c:pt idx="780">
                  <c:v>0.5642714304395432</c:v>
                </c:pt>
                <c:pt idx="781">
                  <c:v>0.63848925695133141</c:v>
                </c:pt>
                <c:pt idx="782">
                  <c:v>0.85531720519493959</c:v>
                </c:pt>
                <c:pt idx="783">
                  <c:v>0.96378782734438284</c:v>
                </c:pt>
                <c:pt idx="784">
                  <c:v>1.4535731329449995</c:v>
                </c:pt>
                <c:pt idx="785">
                  <c:v>1.4795273244861369</c:v>
                </c:pt>
                <c:pt idx="786">
                  <c:v>1.4901926635680025</c:v>
                </c:pt>
                <c:pt idx="787">
                  <c:v>1.4960065988800362</c:v>
                </c:pt>
                <c:pt idx="788">
                  <c:v>1.5163149757779493</c:v>
                </c:pt>
                <c:pt idx="789">
                  <c:v>1.5293447875299944</c:v>
                </c:pt>
                <c:pt idx="790">
                  <c:v>1.5854607295080339</c:v>
                </c:pt>
                <c:pt idx="791">
                  <c:v>1.5862121042320871</c:v>
                </c:pt>
                <c:pt idx="792">
                  <c:v>1.5910646070266836</c:v>
                </c:pt>
                <c:pt idx="793">
                  <c:v>1.6002466505648552</c:v>
                </c:pt>
                <c:pt idx="794">
                  <c:v>1.6101276130755544</c:v>
                </c:pt>
                <c:pt idx="795">
                  <c:v>1.6127838567196477</c:v>
                </c:pt>
                <c:pt idx="796">
                  <c:v>1.6136656732296053</c:v>
                </c:pt>
                <c:pt idx="797">
                  <c:v>1.6393204428199795</c:v>
                </c:pt>
                <c:pt idx="798">
                  <c:v>1.6728672017718138</c:v>
                </c:pt>
                <c:pt idx="799">
                  <c:v>1.6789733759196899</c:v>
                </c:pt>
                <c:pt idx="800">
                  <c:v>1.6809395392169428</c:v>
                </c:pt>
                <c:pt idx="801">
                  <c:v>1.691670765594373</c:v>
                </c:pt>
                <c:pt idx="802">
                  <c:v>1.7004152452102714</c:v>
                </c:pt>
                <c:pt idx="803">
                  <c:v>1.7224968129881322</c:v>
                </c:pt>
                <c:pt idx="804">
                  <c:v>1.7393085761563265</c:v>
                </c:pt>
                <c:pt idx="805">
                  <c:v>2.0756685954731497</c:v>
                </c:pt>
                <c:pt idx="806">
                  <c:v>2.1971426649726542</c:v>
                </c:pt>
                <c:pt idx="807">
                  <c:v>2.2052494877969169</c:v>
                </c:pt>
                <c:pt idx="808">
                  <c:v>2.2063760629600595</c:v>
                </c:pt>
                <c:pt idx="809">
                  <c:v>2.2325726150081295</c:v>
                </c:pt>
                <c:pt idx="810">
                  <c:v>3.3850399514868244</c:v>
                </c:pt>
                <c:pt idx="811">
                  <c:v>3.5887011191286202</c:v>
                </c:pt>
                <c:pt idx="812">
                  <c:v>3.9150214877360918</c:v>
                </c:pt>
                <c:pt idx="813">
                  <c:v>4.0296610423337693</c:v>
                </c:pt>
                <c:pt idx="814">
                  <c:v>5.2976244764949962</c:v>
                </c:pt>
                <c:pt idx="815">
                  <c:v>5.2977754613655312</c:v>
                </c:pt>
                <c:pt idx="816">
                  <c:v>5.2978304082886511</c:v>
                </c:pt>
                <c:pt idx="817">
                  <c:v>5.2978793697288795</c:v>
                </c:pt>
                <c:pt idx="818">
                  <c:v>5.2978804633689123</c:v>
                </c:pt>
                <c:pt idx="819">
                  <c:v>5.5191173652748411</c:v>
                </c:pt>
                <c:pt idx="820">
                  <c:v>7.184678827579174</c:v>
                </c:pt>
                <c:pt idx="821">
                  <c:v>7.1878294677629535</c:v>
                </c:pt>
                <c:pt idx="822">
                  <c:v>7.1933012868544521</c:v>
                </c:pt>
                <c:pt idx="823">
                  <c:v>-5.6802738555415218</c:v>
                </c:pt>
                <c:pt idx="824">
                  <c:v>-5.6207480100884046</c:v>
                </c:pt>
                <c:pt idx="825">
                  <c:v>-5.6021077610936825</c:v>
                </c:pt>
                <c:pt idx="826">
                  <c:v>-1.6812412373755872</c:v>
                </c:pt>
                <c:pt idx="827">
                  <c:v>0</c:v>
                </c:pt>
                <c:pt idx="828">
                  <c:v>1.3802112417116059</c:v>
                </c:pt>
                <c:pt idx="829">
                  <c:v>2.8071966607109697</c:v>
                </c:pt>
                <c:pt idx="830">
                  <c:v>2.8095597146352675</c:v>
                </c:pt>
                <c:pt idx="831">
                  <c:v>2.8115750058705933</c:v>
                </c:pt>
                <c:pt idx="832">
                  <c:v>3.2940250940953226</c:v>
                </c:pt>
                <c:pt idx="833">
                  <c:v>3.3197304943302246</c:v>
                </c:pt>
                <c:pt idx="834">
                  <c:v>3.3246939138617746</c:v>
                </c:pt>
                <c:pt idx="835">
                  <c:v>3.3888114134735234</c:v>
                </c:pt>
                <c:pt idx="836">
                  <c:v>5.6362190119298532</c:v>
                </c:pt>
              </c:numCache>
            </c:numRef>
          </c:xVal>
          <c:yVal>
            <c:numRef>
              <c:f>Descrete!$P$2:$P$1086</c:f>
              <c:numCache>
                <c:formatCode>General</c:formatCode>
                <c:ptCount val="1085"/>
                <c:pt idx="0">
                  <c:v>1</c:v>
                </c:pt>
                <c:pt idx="1">
                  <c:v>2</c:v>
                </c:pt>
                <c:pt idx="2">
                  <c:v>2</c:v>
                </c:pt>
                <c:pt idx="3">
                  <c:v>2</c:v>
                </c:pt>
                <c:pt idx="4">
                  <c:v>4</c:v>
                </c:pt>
                <c:pt idx="5">
                  <c:v>6</c:v>
                </c:pt>
                <c:pt idx="6">
                  <c:v>4</c:v>
                </c:pt>
                <c:pt idx="7">
                  <c:v>2</c:v>
                </c:pt>
                <c:pt idx="8">
                  <c:v>7</c:v>
                </c:pt>
                <c:pt idx="9">
                  <c:v>2</c:v>
                </c:pt>
                <c:pt idx="10">
                  <c:v>0</c:v>
                </c:pt>
                <c:pt idx="11">
                  <c:v>6</c:v>
                </c:pt>
                <c:pt idx="12">
                  <c:v>2</c:v>
                </c:pt>
                <c:pt idx="13">
                  <c:v>2</c:v>
                </c:pt>
                <c:pt idx="14">
                  <c:v>0</c:v>
                </c:pt>
                <c:pt idx="15">
                  <c:v>5</c:v>
                </c:pt>
                <c:pt idx="16">
                  <c:v>5</c:v>
                </c:pt>
                <c:pt idx="17">
                  <c:v>2</c:v>
                </c:pt>
                <c:pt idx="18">
                  <c:v>2</c:v>
                </c:pt>
                <c:pt idx="19">
                  <c:v>4</c:v>
                </c:pt>
                <c:pt idx="20">
                  <c:v>4</c:v>
                </c:pt>
                <c:pt idx="21">
                  <c:v>4</c:v>
                </c:pt>
                <c:pt idx="22">
                  <c:v>4</c:v>
                </c:pt>
                <c:pt idx="23">
                  <c:v>4</c:v>
                </c:pt>
                <c:pt idx="24">
                  <c:v>5</c:v>
                </c:pt>
                <c:pt idx="25">
                  <c:v>4</c:v>
                </c:pt>
                <c:pt idx="26">
                  <c:v>4</c:v>
                </c:pt>
                <c:pt idx="27">
                  <c:v>-1</c:v>
                </c:pt>
                <c:pt idx="28">
                  <c:v>-1</c:v>
                </c:pt>
                <c:pt idx="29">
                  <c:v>5</c:v>
                </c:pt>
                <c:pt idx="30">
                  <c:v>3</c:v>
                </c:pt>
                <c:pt idx="31">
                  <c:v>4</c:v>
                </c:pt>
                <c:pt idx="32">
                  <c:v>1</c:v>
                </c:pt>
                <c:pt idx="33">
                  <c:v>1</c:v>
                </c:pt>
                <c:pt idx="34">
                  <c:v>1</c:v>
                </c:pt>
                <c:pt idx="35">
                  <c:v>1</c:v>
                </c:pt>
                <c:pt idx="36">
                  <c:v>1</c:v>
                </c:pt>
                <c:pt idx="37">
                  <c:v>-1</c:v>
                </c:pt>
                <c:pt idx="38">
                  <c:v>1</c:v>
                </c:pt>
                <c:pt idx="39">
                  <c:v>2</c:v>
                </c:pt>
                <c:pt idx="40">
                  <c:v>0</c:v>
                </c:pt>
                <c:pt idx="41">
                  <c:v>2</c:v>
                </c:pt>
                <c:pt idx="42">
                  <c:v>0</c:v>
                </c:pt>
                <c:pt idx="43">
                  <c:v>2</c:v>
                </c:pt>
                <c:pt idx="44">
                  <c:v>5</c:v>
                </c:pt>
                <c:pt idx="45">
                  <c:v>5</c:v>
                </c:pt>
                <c:pt idx="46">
                  <c:v>4</c:v>
                </c:pt>
                <c:pt idx="47">
                  <c:v>2</c:v>
                </c:pt>
                <c:pt idx="48">
                  <c:v>4</c:v>
                </c:pt>
                <c:pt idx="49">
                  <c:v>2</c:v>
                </c:pt>
                <c:pt idx="50">
                  <c:v>3</c:v>
                </c:pt>
                <c:pt idx="51">
                  <c:v>3</c:v>
                </c:pt>
                <c:pt idx="52">
                  <c:v>0</c:v>
                </c:pt>
                <c:pt idx="53">
                  <c:v>4</c:v>
                </c:pt>
                <c:pt idx="54">
                  <c:v>1</c:v>
                </c:pt>
                <c:pt idx="55">
                  <c:v>1</c:v>
                </c:pt>
                <c:pt idx="56">
                  <c:v>1</c:v>
                </c:pt>
                <c:pt idx="57">
                  <c:v>1</c:v>
                </c:pt>
                <c:pt idx="58">
                  <c:v>1</c:v>
                </c:pt>
                <c:pt idx="59">
                  <c:v>1</c:v>
                </c:pt>
                <c:pt idx="60">
                  <c:v>1</c:v>
                </c:pt>
                <c:pt idx="61">
                  <c:v>1</c:v>
                </c:pt>
                <c:pt idx="62">
                  <c:v>2</c:v>
                </c:pt>
                <c:pt idx="63">
                  <c:v>2</c:v>
                </c:pt>
                <c:pt idx="64">
                  <c:v>2</c:v>
                </c:pt>
                <c:pt idx="65">
                  <c:v>1</c:v>
                </c:pt>
                <c:pt idx="66">
                  <c:v>2</c:v>
                </c:pt>
                <c:pt idx="67">
                  <c:v>1</c:v>
                </c:pt>
                <c:pt idx="68">
                  <c:v>0</c:v>
                </c:pt>
                <c:pt idx="69">
                  <c:v>2</c:v>
                </c:pt>
                <c:pt idx="70">
                  <c:v>4</c:v>
                </c:pt>
                <c:pt idx="71">
                  <c:v>6</c:v>
                </c:pt>
                <c:pt idx="72">
                  <c:v>1</c:v>
                </c:pt>
                <c:pt idx="73">
                  <c:v>6</c:v>
                </c:pt>
                <c:pt idx="74">
                  <c:v>4</c:v>
                </c:pt>
                <c:pt idx="75">
                  <c:v>4</c:v>
                </c:pt>
                <c:pt idx="76">
                  <c:v>0</c:v>
                </c:pt>
                <c:pt idx="77">
                  <c:v>2</c:v>
                </c:pt>
                <c:pt idx="78">
                  <c:v>2</c:v>
                </c:pt>
                <c:pt idx="79">
                  <c:v>4</c:v>
                </c:pt>
                <c:pt idx="80">
                  <c:v>4</c:v>
                </c:pt>
                <c:pt idx="81">
                  <c:v>2</c:v>
                </c:pt>
                <c:pt idx="82">
                  <c:v>2</c:v>
                </c:pt>
                <c:pt idx="83">
                  <c:v>4</c:v>
                </c:pt>
                <c:pt idx="84">
                  <c:v>1</c:v>
                </c:pt>
                <c:pt idx="85">
                  <c:v>2</c:v>
                </c:pt>
                <c:pt idx="86">
                  <c:v>1</c:v>
                </c:pt>
                <c:pt idx="87">
                  <c:v>4</c:v>
                </c:pt>
                <c:pt idx="88">
                  <c:v>4</c:v>
                </c:pt>
                <c:pt idx="89">
                  <c:v>2</c:v>
                </c:pt>
                <c:pt idx="90">
                  <c:v>5</c:v>
                </c:pt>
                <c:pt idx="91">
                  <c:v>2</c:v>
                </c:pt>
                <c:pt idx="92">
                  <c:v>0</c:v>
                </c:pt>
                <c:pt idx="93">
                  <c:v>2</c:v>
                </c:pt>
                <c:pt idx="94">
                  <c:v>5</c:v>
                </c:pt>
                <c:pt idx="95">
                  <c:v>0</c:v>
                </c:pt>
                <c:pt idx="96">
                  <c:v>2</c:v>
                </c:pt>
                <c:pt idx="97">
                  <c:v>4</c:v>
                </c:pt>
                <c:pt idx="98">
                  <c:v>2</c:v>
                </c:pt>
                <c:pt idx="99">
                  <c:v>4</c:v>
                </c:pt>
                <c:pt idx="100">
                  <c:v>6</c:v>
                </c:pt>
                <c:pt idx="101">
                  <c:v>4</c:v>
                </c:pt>
                <c:pt idx="102">
                  <c:v>4</c:v>
                </c:pt>
                <c:pt idx="103">
                  <c:v>6</c:v>
                </c:pt>
                <c:pt idx="104">
                  <c:v>4</c:v>
                </c:pt>
                <c:pt idx="105">
                  <c:v>2</c:v>
                </c:pt>
                <c:pt idx="106">
                  <c:v>6</c:v>
                </c:pt>
                <c:pt idx="107">
                  <c:v>4</c:v>
                </c:pt>
                <c:pt idx="108">
                  <c:v>2</c:v>
                </c:pt>
                <c:pt idx="109">
                  <c:v>6</c:v>
                </c:pt>
                <c:pt idx="110">
                  <c:v>0</c:v>
                </c:pt>
                <c:pt idx="111">
                  <c:v>1</c:v>
                </c:pt>
                <c:pt idx="112">
                  <c:v>4</c:v>
                </c:pt>
                <c:pt idx="113">
                  <c:v>4</c:v>
                </c:pt>
                <c:pt idx="114">
                  <c:v>4</c:v>
                </c:pt>
                <c:pt idx="115">
                  <c:v>4</c:v>
                </c:pt>
                <c:pt idx="116">
                  <c:v>4</c:v>
                </c:pt>
                <c:pt idx="117">
                  <c:v>5</c:v>
                </c:pt>
                <c:pt idx="118">
                  <c:v>5</c:v>
                </c:pt>
                <c:pt idx="119">
                  <c:v>4</c:v>
                </c:pt>
                <c:pt idx="120">
                  <c:v>4</c:v>
                </c:pt>
                <c:pt idx="121">
                  <c:v>4</c:v>
                </c:pt>
                <c:pt idx="122">
                  <c:v>4</c:v>
                </c:pt>
                <c:pt idx="123">
                  <c:v>4</c:v>
                </c:pt>
                <c:pt idx="124">
                  <c:v>6</c:v>
                </c:pt>
                <c:pt idx="125">
                  <c:v>4</c:v>
                </c:pt>
                <c:pt idx="126">
                  <c:v>5</c:v>
                </c:pt>
                <c:pt idx="127">
                  <c:v>4</c:v>
                </c:pt>
                <c:pt idx="128">
                  <c:v>5</c:v>
                </c:pt>
                <c:pt idx="129">
                  <c:v>4</c:v>
                </c:pt>
                <c:pt idx="130">
                  <c:v>4</c:v>
                </c:pt>
                <c:pt idx="131">
                  <c:v>4</c:v>
                </c:pt>
                <c:pt idx="132">
                  <c:v>4</c:v>
                </c:pt>
                <c:pt idx="133">
                  <c:v>4</c:v>
                </c:pt>
                <c:pt idx="134">
                  <c:v>5</c:v>
                </c:pt>
                <c:pt idx="135">
                  <c:v>4</c:v>
                </c:pt>
                <c:pt idx="136">
                  <c:v>6</c:v>
                </c:pt>
                <c:pt idx="137">
                  <c:v>4</c:v>
                </c:pt>
                <c:pt idx="138">
                  <c:v>4</c:v>
                </c:pt>
                <c:pt idx="139">
                  <c:v>4</c:v>
                </c:pt>
                <c:pt idx="140">
                  <c:v>5</c:v>
                </c:pt>
                <c:pt idx="141">
                  <c:v>4</c:v>
                </c:pt>
                <c:pt idx="142">
                  <c:v>5</c:v>
                </c:pt>
                <c:pt idx="143">
                  <c:v>3</c:v>
                </c:pt>
                <c:pt idx="144">
                  <c:v>4</c:v>
                </c:pt>
                <c:pt idx="145">
                  <c:v>0</c:v>
                </c:pt>
                <c:pt idx="146">
                  <c:v>6</c:v>
                </c:pt>
                <c:pt idx="147">
                  <c:v>4</c:v>
                </c:pt>
                <c:pt idx="148">
                  <c:v>4</c:v>
                </c:pt>
                <c:pt idx="149">
                  <c:v>5</c:v>
                </c:pt>
                <c:pt idx="150">
                  <c:v>4</c:v>
                </c:pt>
                <c:pt idx="151">
                  <c:v>4</c:v>
                </c:pt>
                <c:pt idx="152">
                  <c:v>4</c:v>
                </c:pt>
                <c:pt idx="153">
                  <c:v>4</c:v>
                </c:pt>
                <c:pt idx="154">
                  <c:v>4</c:v>
                </c:pt>
                <c:pt idx="155">
                  <c:v>4</c:v>
                </c:pt>
                <c:pt idx="156">
                  <c:v>4</c:v>
                </c:pt>
                <c:pt idx="157">
                  <c:v>4</c:v>
                </c:pt>
                <c:pt idx="158">
                  <c:v>4</c:v>
                </c:pt>
                <c:pt idx="159">
                  <c:v>4</c:v>
                </c:pt>
                <c:pt idx="160">
                  <c:v>4</c:v>
                </c:pt>
                <c:pt idx="161">
                  <c:v>4</c:v>
                </c:pt>
                <c:pt idx="162">
                  <c:v>5</c:v>
                </c:pt>
                <c:pt idx="163">
                  <c:v>4</c:v>
                </c:pt>
                <c:pt idx="164">
                  <c:v>4</c:v>
                </c:pt>
                <c:pt idx="165">
                  <c:v>3</c:v>
                </c:pt>
                <c:pt idx="166">
                  <c:v>3</c:v>
                </c:pt>
                <c:pt idx="167">
                  <c:v>4</c:v>
                </c:pt>
                <c:pt idx="168">
                  <c:v>-1</c:v>
                </c:pt>
                <c:pt idx="169">
                  <c:v>4</c:v>
                </c:pt>
                <c:pt idx="170">
                  <c:v>2</c:v>
                </c:pt>
                <c:pt idx="171">
                  <c:v>3</c:v>
                </c:pt>
                <c:pt idx="172">
                  <c:v>-1</c:v>
                </c:pt>
                <c:pt idx="173">
                  <c:v>4</c:v>
                </c:pt>
                <c:pt idx="174">
                  <c:v>4</c:v>
                </c:pt>
                <c:pt idx="175">
                  <c:v>4</c:v>
                </c:pt>
                <c:pt idx="176">
                  <c:v>2</c:v>
                </c:pt>
                <c:pt idx="177">
                  <c:v>3</c:v>
                </c:pt>
                <c:pt idx="178">
                  <c:v>2</c:v>
                </c:pt>
                <c:pt idx="179">
                  <c:v>6</c:v>
                </c:pt>
                <c:pt idx="180">
                  <c:v>5</c:v>
                </c:pt>
                <c:pt idx="181">
                  <c:v>4</c:v>
                </c:pt>
                <c:pt idx="182">
                  <c:v>5</c:v>
                </c:pt>
                <c:pt idx="183">
                  <c:v>5</c:v>
                </c:pt>
                <c:pt idx="184">
                  <c:v>6</c:v>
                </c:pt>
                <c:pt idx="185">
                  <c:v>6</c:v>
                </c:pt>
                <c:pt idx="186">
                  <c:v>5</c:v>
                </c:pt>
                <c:pt idx="187">
                  <c:v>6</c:v>
                </c:pt>
                <c:pt idx="188">
                  <c:v>4</c:v>
                </c:pt>
                <c:pt idx="189">
                  <c:v>4</c:v>
                </c:pt>
                <c:pt idx="190">
                  <c:v>2</c:v>
                </c:pt>
                <c:pt idx="191">
                  <c:v>-1</c:v>
                </c:pt>
                <c:pt idx="192">
                  <c:v>-1</c:v>
                </c:pt>
                <c:pt idx="193">
                  <c:v>1</c:v>
                </c:pt>
                <c:pt idx="194">
                  <c:v>4</c:v>
                </c:pt>
                <c:pt idx="195">
                  <c:v>4</c:v>
                </c:pt>
                <c:pt idx="196">
                  <c:v>5</c:v>
                </c:pt>
                <c:pt idx="197">
                  <c:v>4</c:v>
                </c:pt>
                <c:pt idx="198">
                  <c:v>4</c:v>
                </c:pt>
                <c:pt idx="199">
                  <c:v>4</c:v>
                </c:pt>
                <c:pt idx="200">
                  <c:v>4</c:v>
                </c:pt>
                <c:pt idx="201">
                  <c:v>5</c:v>
                </c:pt>
                <c:pt idx="202">
                  <c:v>5</c:v>
                </c:pt>
                <c:pt idx="203">
                  <c:v>4</c:v>
                </c:pt>
                <c:pt idx="204">
                  <c:v>4</c:v>
                </c:pt>
                <c:pt idx="205">
                  <c:v>-1</c:v>
                </c:pt>
                <c:pt idx="206">
                  <c:v>5</c:v>
                </c:pt>
                <c:pt idx="207">
                  <c:v>4</c:v>
                </c:pt>
                <c:pt idx="208">
                  <c:v>2</c:v>
                </c:pt>
                <c:pt idx="209">
                  <c:v>1</c:v>
                </c:pt>
                <c:pt idx="210">
                  <c:v>2</c:v>
                </c:pt>
                <c:pt idx="211">
                  <c:v>6</c:v>
                </c:pt>
                <c:pt idx="212">
                  <c:v>2</c:v>
                </c:pt>
                <c:pt idx="213">
                  <c:v>6</c:v>
                </c:pt>
                <c:pt idx="214">
                  <c:v>3</c:v>
                </c:pt>
                <c:pt idx="215">
                  <c:v>4</c:v>
                </c:pt>
                <c:pt idx="216">
                  <c:v>1</c:v>
                </c:pt>
                <c:pt idx="217">
                  <c:v>2</c:v>
                </c:pt>
                <c:pt idx="218">
                  <c:v>4</c:v>
                </c:pt>
                <c:pt idx="219">
                  <c:v>3</c:v>
                </c:pt>
                <c:pt idx="220">
                  <c:v>2</c:v>
                </c:pt>
                <c:pt idx="221">
                  <c:v>6</c:v>
                </c:pt>
                <c:pt idx="222">
                  <c:v>4</c:v>
                </c:pt>
                <c:pt idx="223">
                  <c:v>4</c:v>
                </c:pt>
                <c:pt idx="224">
                  <c:v>4</c:v>
                </c:pt>
                <c:pt idx="225">
                  <c:v>4</c:v>
                </c:pt>
                <c:pt idx="226">
                  <c:v>4</c:v>
                </c:pt>
                <c:pt idx="227">
                  <c:v>4</c:v>
                </c:pt>
                <c:pt idx="228">
                  <c:v>4</c:v>
                </c:pt>
                <c:pt idx="229">
                  <c:v>4</c:v>
                </c:pt>
                <c:pt idx="230">
                  <c:v>4</c:v>
                </c:pt>
                <c:pt idx="231">
                  <c:v>4</c:v>
                </c:pt>
                <c:pt idx="232">
                  <c:v>4</c:v>
                </c:pt>
                <c:pt idx="233">
                  <c:v>4</c:v>
                </c:pt>
                <c:pt idx="234">
                  <c:v>4</c:v>
                </c:pt>
                <c:pt idx="235">
                  <c:v>4</c:v>
                </c:pt>
                <c:pt idx="236">
                  <c:v>4</c:v>
                </c:pt>
                <c:pt idx="237">
                  <c:v>4</c:v>
                </c:pt>
                <c:pt idx="238">
                  <c:v>4</c:v>
                </c:pt>
                <c:pt idx="239">
                  <c:v>4</c:v>
                </c:pt>
                <c:pt idx="240">
                  <c:v>4</c:v>
                </c:pt>
                <c:pt idx="241">
                  <c:v>4</c:v>
                </c:pt>
                <c:pt idx="242">
                  <c:v>4</c:v>
                </c:pt>
                <c:pt idx="243">
                  <c:v>4</c:v>
                </c:pt>
                <c:pt idx="244">
                  <c:v>4</c:v>
                </c:pt>
                <c:pt idx="245">
                  <c:v>4</c:v>
                </c:pt>
                <c:pt idx="246">
                  <c:v>4</c:v>
                </c:pt>
                <c:pt idx="247">
                  <c:v>4</c:v>
                </c:pt>
                <c:pt idx="248">
                  <c:v>4</c:v>
                </c:pt>
                <c:pt idx="249">
                  <c:v>4</c:v>
                </c:pt>
                <c:pt idx="250">
                  <c:v>4</c:v>
                </c:pt>
                <c:pt idx="251">
                  <c:v>4</c:v>
                </c:pt>
                <c:pt idx="252">
                  <c:v>4</c:v>
                </c:pt>
                <c:pt idx="253">
                  <c:v>4</c:v>
                </c:pt>
                <c:pt idx="254">
                  <c:v>4</c:v>
                </c:pt>
                <c:pt idx="255">
                  <c:v>4</c:v>
                </c:pt>
                <c:pt idx="256">
                  <c:v>4</c:v>
                </c:pt>
                <c:pt idx="257">
                  <c:v>4</c:v>
                </c:pt>
                <c:pt idx="258">
                  <c:v>4</c:v>
                </c:pt>
                <c:pt idx="259">
                  <c:v>4</c:v>
                </c:pt>
                <c:pt idx="260">
                  <c:v>4</c:v>
                </c:pt>
                <c:pt idx="261">
                  <c:v>4</c:v>
                </c:pt>
                <c:pt idx="262">
                  <c:v>4</c:v>
                </c:pt>
                <c:pt idx="263">
                  <c:v>4</c:v>
                </c:pt>
                <c:pt idx="264">
                  <c:v>4</c:v>
                </c:pt>
                <c:pt idx="265">
                  <c:v>4</c:v>
                </c:pt>
                <c:pt idx="266">
                  <c:v>4</c:v>
                </c:pt>
                <c:pt idx="267">
                  <c:v>4</c:v>
                </c:pt>
                <c:pt idx="268">
                  <c:v>4</c:v>
                </c:pt>
                <c:pt idx="269">
                  <c:v>4</c:v>
                </c:pt>
                <c:pt idx="270">
                  <c:v>4</c:v>
                </c:pt>
                <c:pt idx="271">
                  <c:v>4</c:v>
                </c:pt>
                <c:pt idx="272">
                  <c:v>4</c:v>
                </c:pt>
                <c:pt idx="273">
                  <c:v>6</c:v>
                </c:pt>
                <c:pt idx="274">
                  <c:v>4</c:v>
                </c:pt>
                <c:pt idx="275">
                  <c:v>3</c:v>
                </c:pt>
                <c:pt idx="276">
                  <c:v>4</c:v>
                </c:pt>
                <c:pt idx="277">
                  <c:v>3</c:v>
                </c:pt>
                <c:pt idx="278">
                  <c:v>4</c:v>
                </c:pt>
                <c:pt idx="279">
                  <c:v>2</c:v>
                </c:pt>
                <c:pt idx="280">
                  <c:v>3</c:v>
                </c:pt>
                <c:pt idx="281">
                  <c:v>4</c:v>
                </c:pt>
                <c:pt idx="282">
                  <c:v>2</c:v>
                </c:pt>
                <c:pt idx="283">
                  <c:v>2</c:v>
                </c:pt>
                <c:pt idx="284">
                  <c:v>1</c:v>
                </c:pt>
                <c:pt idx="285">
                  <c:v>2</c:v>
                </c:pt>
                <c:pt idx="286">
                  <c:v>2</c:v>
                </c:pt>
                <c:pt idx="287">
                  <c:v>3</c:v>
                </c:pt>
                <c:pt idx="288">
                  <c:v>2</c:v>
                </c:pt>
                <c:pt idx="289">
                  <c:v>4</c:v>
                </c:pt>
                <c:pt idx="290">
                  <c:v>6</c:v>
                </c:pt>
                <c:pt idx="291">
                  <c:v>4</c:v>
                </c:pt>
                <c:pt idx="292">
                  <c:v>2</c:v>
                </c:pt>
                <c:pt idx="293">
                  <c:v>4</c:v>
                </c:pt>
                <c:pt idx="294">
                  <c:v>5</c:v>
                </c:pt>
                <c:pt idx="295">
                  <c:v>5</c:v>
                </c:pt>
                <c:pt idx="296">
                  <c:v>5</c:v>
                </c:pt>
                <c:pt idx="297">
                  <c:v>4</c:v>
                </c:pt>
                <c:pt idx="298">
                  <c:v>5</c:v>
                </c:pt>
                <c:pt idx="299">
                  <c:v>6</c:v>
                </c:pt>
                <c:pt idx="300">
                  <c:v>4</c:v>
                </c:pt>
                <c:pt idx="301">
                  <c:v>4</c:v>
                </c:pt>
                <c:pt idx="302">
                  <c:v>5</c:v>
                </c:pt>
                <c:pt idx="303">
                  <c:v>3</c:v>
                </c:pt>
                <c:pt idx="304">
                  <c:v>3</c:v>
                </c:pt>
                <c:pt idx="305">
                  <c:v>1</c:v>
                </c:pt>
                <c:pt idx="306">
                  <c:v>2</c:v>
                </c:pt>
                <c:pt idx="307">
                  <c:v>4</c:v>
                </c:pt>
                <c:pt idx="308">
                  <c:v>5</c:v>
                </c:pt>
                <c:pt idx="309">
                  <c:v>3</c:v>
                </c:pt>
                <c:pt idx="310">
                  <c:v>3</c:v>
                </c:pt>
                <c:pt idx="311">
                  <c:v>2</c:v>
                </c:pt>
                <c:pt idx="312">
                  <c:v>1</c:v>
                </c:pt>
                <c:pt idx="313">
                  <c:v>4</c:v>
                </c:pt>
                <c:pt idx="314">
                  <c:v>5</c:v>
                </c:pt>
                <c:pt idx="315">
                  <c:v>3</c:v>
                </c:pt>
                <c:pt idx="316">
                  <c:v>2</c:v>
                </c:pt>
                <c:pt idx="317">
                  <c:v>3</c:v>
                </c:pt>
                <c:pt idx="318">
                  <c:v>2</c:v>
                </c:pt>
                <c:pt idx="319">
                  <c:v>2</c:v>
                </c:pt>
                <c:pt idx="320">
                  <c:v>2</c:v>
                </c:pt>
                <c:pt idx="321">
                  <c:v>2</c:v>
                </c:pt>
                <c:pt idx="322">
                  <c:v>2</c:v>
                </c:pt>
                <c:pt idx="323">
                  <c:v>4</c:v>
                </c:pt>
                <c:pt idx="324">
                  <c:v>2</c:v>
                </c:pt>
                <c:pt idx="325">
                  <c:v>5</c:v>
                </c:pt>
                <c:pt idx="326">
                  <c:v>3</c:v>
                </c:pt>
                <c:pt idx="327">
                  <c:v>3</c:v>
                </c:pt>
                <c:pt idx="328">
                  <c:v>3</c:v>
                </c:pt>
                <c:pt idx="329">
                  <c:v>4</c:v>
                </c:pt>
                <c:pt idx="330">
                  <c:v>5</c:v>
                </c:pt>
                <c:pt idx="331">
                  <c:v>6</c:v>
                </c:pt>
                <c:pt idx="332">
                  <c:v>4</c:v>
                </c:pt>
                <c:pt idx="333">
                  <c:v>3</c:v>
                </c:pt>
                <c:pt idx="334">
                  <c:v>4</c:v>
                </c:pt>
                <c:pt idx="335">
                  <c:v>4</c:v>
                </c:pt>
                <c:pt idx="336">
                  <c:v>2</c:v>
                </c:pt>
                <c:pt idx="337">
                  <c:v>3</c:v>
                </c:pt>
                <c:pt idx="338">
                  <c:v>4</c:v>
                </c:pt>
                <c:pt idx="339">
                  <c:v>3</c:v>
                </c:pt>
                <c:pt idx="340">
                  <c:v>3</c:v>
                </c:pt>
                <c:pt idx="341">
                  <c:v>3</c:v>
                </c:pt>
                <c:pt idx="342">
                  <c:v>3</c:v>
                </c:pt>
                <c:pt idx="343">
                  <c:v>4</c:v>
                </c:pt>
                <c:pt idx="344">
                  <c:v>4</c:v>
                </c:pt>
                <c:pt idx="345">
                  <c:v>4</c:v>
                </c:pt>
                <c:pt idx="346">
                  <c:v>4</c:v>
                </c:pt>
                <c:pt idx="347">
                  <c:v>4</c:v>
                </c:pt>
                <c:pt idx="348">
                  <c:v>4</c:v>
                </c:pt>
                <c:pt idx="349">
                  <c:v>4</c:v>
                </c:pt>
                <c:pt idx="350">
                  <c:v>3</c:v>
                </c:pt>
                <c:pt idx="351">
                  <c:v>5</c:v>
                </c:pt>
                <c:pt idx="352">
                  <c:v>4</c:v>
                </c:pt>
                <c:pt idx="353">
                  <c:v>4</c:v>
                </c:pt>
                <c:pt idx="354">
                  <c:v>4</c:v>
                </c:pt>
                <c:pt idx="355">
                  <c:v>4</c:v>
                </c:pt>
                <c:pt idx="356">
                  <c:v>4</c:v>
                </c:pt>
                <c:pt idx="357">
                  <c:v>4</c:v>
                </c:pt>
                <c:pt idx="358">
                  <c:v>3</c:v>
                </c:pt>
                <c:pt idx="359">
                  <c:v>4</c:v>
                </c:pt>
                <c:pt idx="360">
                  <c:v>3</c:v>
                </c:pt>
                <c:pt idx="361">
                  <c:v>3</c:v>
                </c:pt>
                <c:pt idx="362">
                  <c:v>3</c:v>
                </c:pt>
                <c:pt idx="363">
                  <c:v>3</c:v>
                </c:pt>
                <c:pt idx="364">
                  <c:v>3</c:v>
                </c:pt>
                <c:pt idx="365">
                  <c:v>3</c:v>
                </c:pt>
                <c:pt idx="366">
                  <c:v>3</c:v>
                </c:pt>
                <c:pt idx="367">
                  <c:v>3</c:v>
                </c:pt>
                <c:pt idx="368">
                  <c:v>2</c:v>
                </c:pt>
                <c:pt idx="369">
                  <c:v>2</c:v>
                </c:pt>
                <c:pt idx="370">
                  <c:v>2</c:v>
                </c:pt>
                <c:pt idx="371">
                  <c:v>2</c:v>
                </c:pt>
                <c:pt idx="372">
                  <c:v>3</c:v>
                </c:pt>
                <c:pt idx="373">
                  <c:v>4</c:v>
                </c:pt>
                <c:pt idx="374">
                  <c:v>3</c:v>
                </c:pt>
                <c:pt idx="375">
                  <c:v>3</c:v>
                </c:pt>
                <c:pt idx="376">
                  <c:v>4</c:v>
                </c:pt>
                <c:pt idx="377">
                  <c:v>4</c:v>
                </c:pt>
                <c:pt idx="378">
                  <c:v>4</c:v>
                </c:pt>
                <c:pt idx="379">
                  <c:v>3</c:v>
                </c:pt>
                <c:pt idx="380">
                  <c:v>1</c:v>
                </c:pt>
                <c:pt idx="381">
                  <c:v>2</c:v>
                </c:pt>
                <c:pt idx="382">
                  <c:v>2</c:v>
                </c:pt>
                <c:pt idx="383">
                  <c:v>2</c:v>
                </c:pt>
                <c:pt idx="384">
                  <c:v>2</c:v>
                </c:pt>
                <c:pt idx="385">
                  <c:v>2</c:v>
                </c:pt>
                <c:pt idx="386">
                  <c:v>3</c:v>
                </c:pt>
                <c:pt idx="387">
                  <c:v>3</c:v>
                </c:pt>
                <c:pt idx="388">
                  <c:v>2</c:v>
                </c:pt>
                <c:pt idx="389">
                  <c:v>4</c:v>
                </c:pt>
                <c:pt idx="390">
                  <c:v>4</c:v>
                </c:pt>
                <c:pt idx="391">
                  <c:v>2</c:v>
                </c:pt>
                <c:pt idx="392">
                  <c:v>4</c:v>
                </c:pt>
                <c:pt idx="393">
                  <c:v>4</c:v>
                </c:pt>
                <c:pt idx="394">
                  <c:v>4</c:v>
                </c:pt>
                <c:pt idx="395">
                  <c:v>4</c:v>
                </c:pt>
                <c:pt idx="396">
                  <c:v>4</c:v>
                </c:pt>
                <c:pt idx="397">
                  <c:v>3</c:v>
                </c:pt>
                <c:pt idx="398">
                  <c:v>0</c:v>
                </c:pt>
                <c:pt idx="399">
                  <c:v>1</c:v>
                </c:pt>
                <c:pt idx="400">
                  <c:v>2</c:v>
                </c:pt>
                <c:pt idx="401">
                  <c:v>1</c:v>
                </c:pt>
                <c:pt idx="402">
                  <c:v>2</c:v>
                </c:pt>
                <c:pt idx="403">
                  <c:v>2</c:v>
                </c:pt>
                <c:pt idx="404">
                  <c:v>4</c:v>
                </c:pt>
                <c:pt idx="405">
                  <c:v>4</c:v>
                </c:pt>
                <c:pt idx="406">
                  <c:v>4</c:v>
                </c:pt>
                <c:pt idx="407">
                  <c:v>4</c:v>
                </c:pt>
                <c:pt idx="408">
                  <c:v>3</c:v>
                </c:pt>
                <c:pt idx="409">
                  <c:v>2</c:v>
                </c:pt>
                <c:pt idx="410">
                  <c:v>1</c:v>
                </c:pt>
                <c:pt idx="411">
                  <c:v>1</c:v>
                </c:pt>
                <c:pt idx="412">
                  <c:v>2</c:v>
                </c:pt>
                <c:pt idx="413">
                  <c:v>2</c:v>
                </c:pt>
                <c:pt idx="414">
                  <c:v>2</c:v>
                </c:pt>
                <c:pt idx="415">
                  <c:v>4</c:v>
                </c:pt>
                <c:pt idx="416">
                  <c:v>4</c:v>
                </c:pt>
                <c:pt idx="417">
                  <c:v>4</c:v>
                </c:pt>
                <c:pt idx="418">
                  <c:v>3</c:v>
                </c:pt>
                <c:pt idx="419">
                  <c:v>2</c:v>
                </c:pt>
                <c:pt idx="420">
                  <c:v>2</c:v>
                </c:pt>
                <c:pt idx="421">
                  <c:v>2</c:v>
                </c:pt>
                <c:pt idx="422">
                  <c:v>2</c:v>
                </c:pt>
                <c:pt idx="423">
                  <c:v>4</c:v>
                </c:pt>
                <c:pt idx="424">
                  <c:v>6</c:v>
                </c:pt>
                <c:pt idx="425">
                  <c:v>4</c:v>
                </c:pt>
                <c:pt idx="426">
                  <c:v>4</c:v>
                </c:pt>
                <c:pt idx="427">
                  <c:v>4</c:v>
                </c:pt>
                <c:pt idx="428">
                  <c:v>0</c:v>
                </c:pt>
                <c:pt idx="429">
                  <c:v>0</c:v>
                </c:pt>
                <c:pt idx="430">
                  <c:v>4</c:v>
                </c:pt>
                <c:pt idx="431">
                  <c:v>-1</c:v>
                </c:pt>
                <c:pt idx="432">
                  <c:v>2</c:v>
                </c:pt>
                <c:pt idx="433">
                  <c:v>2</c:v>
                </c:pt>
                <c:pt idx="434">
                  <c:v>1</c:v>
                </c:pt>
                <c:pt idx="435">
                  <c:v>-1</c:v>
                </c:pt>
                <c:pt idx="436">
                  <c:v>1</c:v>
                </c:pt>
                <c:pt idx="437">
                  <c:v>-1</c:v>
                </c:pt>
                <c:pt idx="438">
                  <c:v>2</c:v>
                </c:pt>
                <c:pt idx="439">
                  <c:v>2</c:v>
                </c:pt>
                <c:pt idx="440">
                  <c:v>4</c:v>
                </c:pt>
                <c:pt idx="441">
                  <c:v>2</c:v>
                </c:pt>
                <c:pt idx="442">
                  <c:v>5</c:v>
                </c:pt>
                <c:pt idx="443">
                  <c:v>3</c:v>
                </c:pt>
                <c:pt idx="444">
                  <c:v>4</c:v>
                </c:pt>
                <c:pt idx="445">
                  <c:v>3</c:v>
                </c:pt>
                <c:pt idx="446">
                  <c:v>-1</c:v>
                </c:pt>
                <c:pt idx="447">
                  <c:v>2</c:v>
                </c:pt>
                <c:pt idx="448">
                  <c:v>3</c:v>
                </c:pt>
                <c:pt idx="449">
                  <c:v>3</c:v>
                </c:pt>
                <c:pt idx="450">
                  <c:v>3</c:v>
                </c:pt>
                <c:pt idx="451">
                  <c:v>3</c:v>
                </c:pt>
                <c:pt idx="452">
                  <c:v>5</c:v>
                </c:pt>
                <c:pt idx="453">
                  <c:v>4</c:v>
                </c:pt>
                <c:pt idx="454">
                  <c:v>4</c:v>
                </c:pt>
                <c:pt idx="455">
                  <c:v>4</c:v>
                </c:pt>
                <c:pt idx="456">
                  <c:v>4</c:v>
                </c:pt>
                <c:pt idx="457">
                  <c:v>4</c:v>
                </c:pt>
                <c:pt idx="458">
                  <c:v>2</c:v>
                </c:pt>
                <c:pt idx="459">
                  <c:v>6</c:v>
                </c:pt>
                <c:pt idx="460">
                  <c:v>4</c:v>
                </c:pt>
                <c:pt idx="461">
                  <c:v>4</c:v>
                </c:pt>
                <c:pt idx="462">
                  <c:v>4</c:v>
                </c:pt>
                <c:pt idx="463">
                  <c:v>4</c:v>
                </c:pt>
                <c:pt idx="464">
                  <c:v>4</c:v>
                </c:pt>
                <c:pt idx="465">
                  <c:v>4</c:v>
                </c:pt>
                <c:pt idx="466">
                  <c:v>4</c:v>
                </c:pt>
                <c:pt idx="467">
                  <c:v>1</c:v>
                </c:pt>
                <c:pt idx="468">
                  <c:v>2</c:v>
                </c:pt>
                <c:pt idx="469">
                  <c:v>2</c:v>
                </c:pt>
                <c:pt idx="470">
                  <c:v>2</c:v>
                </c:pt>
                <c:pt idx="471">
                  <c:v>4</c:v>
                </c:pt>
                <c:pt idx="472">
                  <c:v>2</c:v>
                </c:pt>
                <c:pt idx="473">
                  <c:v>4</c:v>
                </c:pt>
                <c:pt idx="474">
                  <c:v>5</c:v>
                </c:pt>
                <c:pt idx="475">
                  <c:v>5</c:v>
                </c:pt>
                <c:pt idx="476">
                  <c:v>4</c:v>
                </c:pt>
                <c:pt idx="477">
                  <c:v>3</c:v>
                </c:pt>
                <c:pt idx="478">
                  <c:v>4</c:v>
                </c:pt>
                <c:pt idx="479">
                  <c:v>3</c:v>
                </c:pt>
                <c:pt idx="480">
                  <c:v>2</c:v>
                </c:pt>
                <c:pt idx="481">
                  <c:v>2</c:v>
                </c:pt>
                <c:pt idx="482">
                  <c:v>6</c:v>
                </c:pt>
                <c:pt idx="483">
                  <c:v>4</c:v>
                </c:pt>
                <c:pt idx="484">
                  <c:v>4</c:v>
                </c:pt>
                <c:pt idx="485">
                  <c:v>3</c:v>
                </c:pt>
                <c:pt idx="486">
                  <c:v>4</c:v>
                </c:pt>
                <c:pt idx="487">
                  <c:v>4</c:v>
                </c:pt>
                <c:pt idx="488">
                  <c:v>4</c:v>
                </c:pt>
                <c:pt idx="489">
                  <c:v>4</c:v>
                </c:pt>
                <c:pt idx="490">
                  <c:v>3</c:v>
                </c:pt>
                <c:pt idx="491">
                  <c:v>3</c:v>
                </c:pt>
                <c:pt idx="492">
                  <c:v>5</c:v>
                </c:pt>
                <c:pt idx="493">
                  <c:v>4</c:v>
                </c:pt>
                <c:pt idx="494">
                  <c:v>4</c:v>
                </c:pt>
                <c:pt idx="495">
                  <c:v>5</c:v>
                </c:pt>
                <c:pt idx="496">
                  <c:v>4</c:v>
                </c:pt>
                <c:pt idx="497">
                  <c:v>3</c:v>
                </c:pt>
                <c:pt idx="498">
                  <c:v>4</c:v>
                </c:pt>
                <c:pt idx="499">
                  <c:v>-1</c:v>
                </c:pt>
                <c:pt idx="500">
                  <c:v>2</c:v>
                </c:pt>
                <c:pt idx="501">
                  <c:v>3</c:v>
                </c:pt>
                <c:pt idx="502">
                  <c:v>2</c:v>
                </c:pt>
                <c:pt idx="503">
                  <c:v>4</c:v>
                </c:pt>
                <c:pt idx="504">
                  <c:v>4</c:v>
                </c:pt>
                <c:pt idx="505">
                  <c:v>3</c:v>
                </c:pt>
                <c:pt idx="506">
                  <c:v>4</c:v>
                </c:pt>
                <c:pt idx="507">
                  <c:v>3</c:v>
                </c:pt>
                <c:pt idx="508">
                  <c:v>4</c:v>
                </c:pt>
                <c:pt idx="509">
                  <c:v>4</c:v>
                </c:pt>
                <c:pt idx="510">
                  <c:v>4</c:v>
                </c:pt>
                <c:pt idx="511">
                  <c:v>4</c:v>
                </c:pt>
                <c:pt idx="512">
                  <c:v>4</c:v>
                </c:pt>
                <c:pt idx="513">
                  <c:v>4</c:v>
                </c:pt>
                <c:pt idx="514">
                  <c:v>5</c:v>
                </c:pt>
                <c:pt idx="515">
                  <c:v>4</c:v>
                </c:pt>
                <c:pt idx="516">
                  <c:v>4</c:v>
                </c:pt>
                <c:pt idx="517">
                  <c:v>4</c:v>
                </c:pt>
                <c:pt idx="518">
                  <c:v>4</c:v>
                </c:pt>
                <c:pt idx="519">
                  <c:v>4</c:v>
                </c:pt>
                <c:pt idx="520">
                  <c:v>4</c:v>
                </c:pt>
                <c:pt idx="521">
                  <c:v>4</c:v>
                </c:pt>
                <c:pt idx="522">
                  <c:v>4</c:v>
                </c:pt>
                <c:pt idx="523">
                  <c:v>4</c:v>
                </c:pt>
                <c:pt idx="524">
                  <c:v>4</c:v>
                </c:pt>
                <c:pt idx="525">
                  <c:v>4</c:v>
                </c:pt>
                <c:pt idx="526">
                  <c:v>4</c:v>
                </c:pt>
                <c:pt idx="527">
                  <c:v>4</c:v>
                </c:pt>
                <c:pt idx="528">
                  <c:v>4</c:v>
                </c:pt>
                <c:pt idx="529">
                  <c:v>4</c:v>
                </c:pt>
                <c:pt idx="530">
                  <c:v>4</c:v>
                </c:pt>
                <c:pt idx="531">
                  <c:v>4</c:v>
                </c:pt>
                <c:pt idx="532">
                  <c:v>4</c:v>
                </c:pt>
                <c:pt idx="533">
                  <c:v>4</c:v>
                </c:pt>
                <c:pt idx="534">
                  <c:v>4</c:v>
                </c:pt>
                <c:pt idx="535">
                  <c:v>4</c:v>
                </c:pt>
                <c:pt idx="536">
                  <c:v>4</c:v>
                </c:pt>
                <c:pt idx="537">
                  <c:v>4</c:v>
                </c:pt>
                <c:pt idx="538">
                  <c:v>5</c:v>
                </c:pt>
                <c:pt idx="539">
                  <c:v>4</c:v>
                </c:pt>
                <c:pt idx="540">
                  <c:v>4</c:v>
                </c:pt>
                <c:pt idx="541">
                  <c:v>4</c:v>
                </c:pt>
                <c:pt idx="542">
                  <c:v>4</c:v>
                </c:pt>
                <c:pt idx="543">
                  <c:v>4</c:v>
                </c:pt>
                <c:pt idx="544">
                  <c:v>4</c:v>
                </c:pt>
                <c:pt idx="545">
                  <c:v>4</c:v>
                </c:pt>
                <c:pt idx="546">
                  <c:v>4</c:v>
                </c:pt>
                <c:pt idx="547">
                  <c:v>4</c:v>
                </c:pt>
                <c:pt idx="548">
                  <c:v>4</c:v>
                </c:pt>
                <c:pt idx="549">
                  <c:v>4</c:v>
                </c:pt>
                <c:pt idx="550">
                  <c:v>4</c:v>
                </c:pt>
                <c:pt idx="551">
                  <c:v>4</c:v>
                </c:pt>
                <c:pt idx="552">
                  <c:v>4</c:v>
                </c:pt>
                <c:pt idx="553">
                  <c:v>4</c:v>
                </c:pt>
                <c:pt idx="554">
                  <c:v>4</c:v>
                </c:pt>
                <c:pt idx="555">
                  <c:v>4</c:v>
                </c:pt>
                <c:pt idx="556">
                  <c:v>4</c:v>
                </c:pt>
                <c:pt idx="557">
                  <c:v>4</c:v>
                </c:pt>
                <c:pt idx="558">
                  <c:v>0</c:v>
                </c:pt>
                <c:pt idx="559">
                  <c:v>5</c:v>
                </c:pt>
                <c:pt idx="560">
                  <c:v>3</c:v>
                </c:pt>
                <c:pt idx="561">
                  <c:v>5</c:v>
                </c:pt>
                <c:pt idx="562">
                  <c:v>4</c:v>
                </c:pt>
                <c:pt idx="563">
                  <c:v>5</c:v>
                </c:pt>
                <c:pt idx="564">
                  <c:v>2</c:v>
                </c:pt>
                <c:pt idx="565">
                  <c:v>5</c:v>
                </c:pt>
                <c:pt idx="566">
                  <c:v>6</c:v>
                </c:pt>
                <c:pt idx="567">
                  <c:v>3</c:v>
                </c:pt>
                <c:pt idx="568">
                  <c:v>6</c:v>
                </c:pt>
                <c:pt idx="569">
                  <c:v>4</c:v>
                </c:pt>
                <c:pt idx="570">
                  <c:v>5</c:v>
                </c:pt>
                <c:pt idx="571">
                  <c:v>4</c:v>
                </c:pt>
                <c:pt idx="572">
                  <c:v>2</c:v>
                </c:pt>
                <c:pt idx="573">
                  <c:v>2</c:v>
                </c:pt>
                <c:pt idx="574">
                  <c:v>4</c:v>
                </c:pt>
                <c:pt idx="575">
                  <c:v>4</c:v>
                </c:pt>
                <c:pt idx="576">
                  <c:v>4</c:v>
                </c:pt>
                <c:pt idx="577">
                  <c:v>4</c:v>
                </c:pt>
                <c:pt idx="578">
                  <c:v>4</c:v>
                </c:pt>
                <c:pt idx="579">
                  <c:v>2</c:v>
                </c:pt>
                <c:pt idx="580">
                  <c:v>4</c:v>
                </c:pt>
                <c:pt idx="581">
                  <c:v>4</c:v>
                </c:pt>
                <c:pt idx="582">
                  <c:v>2</c:v>
                </c:pt>
                <c:pt idx="583">
                  <c:v>2</c:v>
                </c:pt>
                <c:pt idx="584">
                  <c:v>5</c:v>
                </c:pt>
                <c:pt idx="585">
                  <c:v>5</c:v>
                </c:pt>
                <c:pt idx="586">
                  <c:v>5</c:v>
                </c:pt>
                <c:pt idx="587">
                  <c:v>3</c:v>
                </c:pt>
                <c:pt idx="588">
                  <c:v>4</c:v>
                </c:pt>
                <c:pt idx="589">
                  <c:v>2</c:v>
                </c:pt>
                <c:pt idx="590">
                  <c:v>2</c:v>
                </c:pt>
                <c:pt idx="591">
                  <c:v>2</c:v>
                </c:pt>
                <c:pt idx="592">
                  <c:v>5</c:v>
                </c:pt>
                <c:pt idx="593">
                  <c:v>3</c:v>
                </c:pt>
                <c:pt idx="594">
                  <c:v>5</c:v>
                </c:pt>
                <c:pt idx="595">
                  <c:v>1</c:v>
                </c:pt>
                <c:pt idx="596">
                  <c:v>4</c:v>
                </c:pt>
                <c:pt idx="597">
                  <c:v>4</c:v>
                </c:pt>
                <c:pt idx="598">
                  <c:v>4</c:v>
                </c:pt>
                <c:pt idx="599">
                  <c:v>5</c:v>
                </c:pt>
                <c:pt idx="600">
                  <c:v>4</c:v>
                </c:pt>
                <c:pt idx="601">
                  <c:v>5</c:v>
                </c:pt>
                <c:pt idx="602">
                  <c:v>2</c:v>
                </c:pt>
                <c:pt idx="603">
                  <c:v>3</c:v>
                </c:pt>
                <c:pt idx="604">
                  <c:v>-1</c:v>
                </c:pt>
                <c:pt idx="605">
                  <c:v>2</c:v>
                </c:pt>
                <c:pt idx="606">
                  <c:v>6</c:v>
                </c:pt>
                <c:pt idx="607">
                  <c:v>6</c:v>
                </c:pt>
                <c:pt idx="608">
                  <c:v>6</c:v>
                </c:pt>
                <c:pt idx="609">
                  <c:v>2</c:v>
                </c:pt>
                <c:pt idx="610">
                  <c:v>6</c:v>
                </c:pt>
                <c:pt idx="611">
                  <c:v>4</c:v>
                </c:pt>
                <c:pt idx="612">
                  <c:v>5</c:v>
                </c:pt>
                <c:pt idx="613">
                  <c:v>5</c:v>
                </c:pt>
                <c:pt idx="614">
                  <c:v>4</c:v>
                </c:pt>
                <c:pt idx="615">
                  <c:v>0</c:v>
                </c:pt>
                <c:pt idx="616">
                  <c:v>5</c:v>
                </c:pt>
                <c:pt idx="617">
                  <c:v>-1</c:v>
                </c:pt>
                <c:pt idx="618">
                  <c:v>2</c:v>
                </c:pt>
                <c:pt idx="619">
                  <c:v>2</c:v>
                </c:pt>
                <c:pt idx="620">
                  <c:v>2</c:v>
                </c:pt>
                <c:pt idx="621">
                  <c:v>3</c:v>
                </c:pt>
                <c:pt idx="622">
                  <c:v>5</c:v>
                </c:pt>
                <c:pt idx="623">
                  <c:v>6</c:v>
                </c:pt>
                <c:pt idx="624">
                  <c:v>4</c:v>
                </c:pt>
                <c:pt idx="625">
                  <c:v>3</c:v>
                </c:pt>
                <c:pt idx="626">
                  <c:v>2</c:v>
                </c:pt>
                <c:pt idx="627">
                  <c:v>4</c:v>
                </c:pt>
                <c:pt idx="628">
                  <c:v>5</c:v>
                </c:pt>
                <c:pt idx="629">
                  <c:v>3</c:v>
                </c:pt>
                <c:pt idx="630">
                  <c:v>3</c:v>
                </c:pt>
                <c:pt idx="631">
                  <c:v>0</c:v>
                </c:pt>
                <c:pt idx="632">
                  <c:v>5</c:v>
                </c:pt>
                <c:pt idx="633">
                  <c:v>5</c:v>
                </c:pt>
                <c:pt idx="634">
                  <c:v>4</c:v>
                </c:pt>
                <c:pt idx="635">
                  <c:v>6</c:v>
                </c:pt>
                <c:pt idx="636">
                  <c:v>6</c:v>
                </c:pt>
                <c:pt idx="637">
                  <c:v>2</c:v>
                </c:pt>
                <c:pt idx="638">
                  <c:v>2</c:v>
                </c:pt>
                <c:pt idx="639">
                  <c:v>7</c:v>
                </c:pt>
                <c:pt idx="640">
                  <c:v>2</c:v>
                </c:pt>
                <c:pt idx="641">
                  <c:v>4</c:v>
                </c:pt>
                <c:pt idx="642">
                  <c:v>4</c:v>
                </c:pt>
                <c:pt idx="643">
                  <c:v>3</c:v>
                </c:pt>
                <c:pt idx="644">
                  <c:v>2</c:v>
                </c:pt>
                <c:pt idx="645">
                  <c:v>0</c:v>
                </c:pt>
                <c:pt idx="646">
                  <c:v>2</c:v>
                </c:pt>
                <c:pt idx="647">
                  <c:v>0</c:v>
                </c:pt>
                <c:pt idx="648">
                  <c:v>0</c:v>
                </c:pt>
                <c:pt idx="649">
                  <c:v>3</c:v>
                </c:pt>
                <c:pt idx="650">
                  <c:v>3</c:v>
                </c:pt>
                <c:pt idx="651">
                  <c:v>4</c:v>
                </c:pt>
                <c:pt idx="652">
                  <c:v>4</c:v>
                </c:pt>
                <c:pt idx="653">
                  <c:v>4</c:v>
                </c:pt>
                <c:pt idx="654">
                  <c:v>4</c:v>
                </c:pt>
                <c:pt idx="655">
                  <c:v>4</c:v>
                </c:pt>
                <c:pt idx="656">
                  <c:v>4</c:v>
                </c:pt>
                <c:pt idx="657">
                  <c:v>4</c:v>
                </c:pt>
                <c:pt idx="658">
                  <c:v>4</c:v>
                </c:pt>
                <c:pt idx="659">
                  <c:v>4</c:v>
                </c:pt>
                <c:pt idx="660">
                  <c:v>4</c:v>
                </c:pt>
                <c:pt idx="661">
                  <c:v>4</c:v>
                </c:pt>
                <c:pt idx="662">
                  <c:v>4</c:v>
                </c:pt>
                <c:pt idx="663">
                  <c:v>4</c:v>
                </c:pt>
                <c:pt idx="664">
                  <c:v>4</c:v>
                </c:pt>
                <c:pt idx="665">
                  <c:v>4</c:v>
                </c:pt>
                <c:pt idx="666">
                  <c:v>4</c:v>
                </c:pt>
                <c:pt idx="667">
                  <c:v>4</c:v>
                </c:pt>
                <c:pt idx="668">
                  <c:v>4</c:v>
                </c:pt>
                <c:pt idx="669">
                  <c:v>4</c:v>
                </c:pt>
                <c:pt idx="670">
                  <c:v>4</c:v>
                </c:pt>
                <c:pt idx="671">
                  <c:v>4</c:v>
                </c:pt>
                <c:pt idx="672">
                  <c:v>4</c:v>
                </c:pt>
                <c:pt idx="673">
                  <c:v>4</c:v>
                </c:pt>
                <c:pt idx="674">
                  <c:v>4</c:v>
                </c:pt>
                <c:pt idx="675">
                  <c:v>4</c:v>
                </c:pt>
                <c:pt idx="676">
                  <c:v>4</c:v>
                </c:pt>
                <c:pt idx="677">
                  <c:v>4</c:v>
                </c:pt>
                <c:pt idx="678">
                  <c:v>4</c:v>
                </c:pt>
                <c:pt idx="679">
                  <c:v>4</c:v>
                </c:pt>
                <c:pt idx="680">
                  <c:v>4</c:v>
                </c:pt>
                <c:pt idx="681">
                  <c:v>4</c:v>
                </c:pt>
                <c:pt idx="682">
                  <c:v>4</c:v>
                </c:pt>
                <c:pt idx="683">
                  <c:v>4</c:v>
                </c:pt>
                <c:pt idx="684">
                  <c:v>4</c:v>
                </c:pt>
                <c:pt idx="685">
                  <c:v>4</c:v>
                </c:pt>
                <c:pt idx="686">
                  <c:v>4</c:v>
                </c:pt>
                <c:pt idx="687">
                  <c:v>4</c:v>
                </c:pt>
                <c:pt idx="688">
                  <c:v>4</c:v>
                </c:pt>
                <c:pt idx="689">
                  <c:v>4</c:v>
                </c:pt>
                <c:pt idx="690">
                  <c:v>4</c:v>
                </c:pt>
                <c:pt idx="691">
                  <c:v>4</c:v>
                </c:pt>
                <c:pt idx="692">
                  <c:v>4</c:v>
                </c:pt>
                <c:pt idx="693">
                  <c:v>4</c:v>
                </c:pt>
                <c:pt idx="694">
                  <c:v>4</c:v>
                </c:pt>
                <c:pt idx="695">
                  <c:v>3</c:v>
                </c:pt>
                <c:pt idx="696">
                  <c:v>1</c:v>
                </c:pt>
                <c:pt idx="697">
                  <c:v>2</c:v>
                </c:pt>
                <c:pt idx="698">
                  <c:v>4</c:v>
                </c:pt>
                <c:pt idx="699">
                  <c:v>3</c:v>
                </c:pt>
                <c:pt idx="700">
                  <c:v>3</c:v>
                </c:pt>
                <c:pt idx="701">
                  <c:v>1</c:v>
                </c:pt>
                <c:pt idx="702">
                  <c:v>3</c:v>
                </c:pt>
                <c:pt idx="703">
                  <c:v>2</c:v>
                </c:pt>
                <c:pt idx="704">
                  <c:v>2</c:v>
                </c:pt>
                <c:pt idx="705">
                  <c:v>2</c:v>
                </c:pt>
                <c:pt idx="706">
                  <c:v>4</c:v>
                </c:pt>
                <c:pt idx="707">
                  <c:v>2</c:v>
                </c:pt>
                <c:pt idx="708">
                  <c:v>4</c:v>
                </c:pt>
                <c:pt idx="709">
                  <c:v>5</c:v>
                </c:pt>
                <c:pt idx="710">
                  <c:v>3</c:v>
                </c:pt>
                <c:pt idx="711">
                  <c:v>2</c:v>
                </c:pt>
                <c:pt idx="712">
                  <c:v>3</c:v>
                </c:pt>
                <c:pt idx="713">
                  <c:v>5</c:v>
                </c:pt>
                <c:pt idx="714">
                  <c:v>6</c:v>
                </c:pt>
                <c:pt idx="715">
                  <c:v>2</c:v>
                </c:pt>
                <c:pt idx="716">
                  <c:v>6</c:v>
                </c:pt>
                <c:pt idx="717">
                  <c:v>6</c:v>
                </c:pt>
                <c:pt idx="718">
                  <c:v>2</c:v>
                </c:pt>
                <c:pt idx="719">
                  <c:v>6</c:v>
                </c:pt>
                <c:pt idx="720">
                  <c:v>5</c:v>
                </c:pt>
                <c:pt idx="721">
                  <c:v>6</c:v>
                </c:pt>
                <c:pt idx="722">
                  <c:v>6</c:v>
                </c:pt>
                <c:pt idx="723">
                  <c:v>6</c:v>
                </c:pt>
                <c:pt idx="724">
                  <c:v>6</c:v>
                </c:pt>
                <c:pt idx="725">
                  <c:v>6</c:v>
                </c:pt>
                <c:pt idx="726">
                  <c:v>6</c:v>
                </c:pt>
                <c:pt idx="727">
                  <c:v>6</c:v>
                </c:pt>
                <c:pt idx="728">
                  <c:v>6</c:v>
                </c:pt>
                <c:pt idx="729">
                  <c:v>7</c:v>
                </c:pt>
                <c:pt idx="730">
                  <c:v>6</c:v>
                </c:pt>
                <c:pt idx="731">
                  <c:v>7</c:v>
                </c:pt>
                <c:pt idx="732">
                  <c:v>7</c:v>
                </c:pt>
                <c:pt idx="733">
                  <c:v>7</c:v>
                </c:pt>
                <c:pt idx="734">
                  <c:v>7</c:v>
                </c:pt>
                <c:pt idx="735">
                  <c:v>5</c:v>
                </c:pt>
                <c:pt idx="736">
                  <c:v>3</c:v>
                </c:pt>
                <c:pt idx="737">
                  <c:v>2</c:v>
                </c:pt>
                <c:pt idx="738">
                  <c:v>2</c:v>
                </c:pt>
                <c:pt idx="739">
                  <c:v>2</c:v>
                </c:pt>
                <c:pt idx="740">
                  <c:v>1</c:v>
                </c:pt>
                <c:pt idx="741">
                  <c:v>3</c:v>
                </c:pt>
                <c:pt idx="742">
                  <c:v>3</c:v>
                </c:pt>
                <c:pt idx="743">
                  <c:v>2</c:v>
                </c:pt>
                <c:pt idx="744">
                  <c:v>6</c:v>
                </c:pt>
                <c:pt idx="745">
                  <c:v>4</c:v>
                </c:pt>
                <c:pt idx="746">
                  <c:v>5</c:v>
                </c:pt>
                <c:pt idx="747">
                  <c:v>5</c:v>
                </c:pt>
                <c:pt idx="748">
                  <c:v>2</c:v>
                </c:pt>
                <c:pt idx="749">
                  <c:v>5</c:v>
                </c:pt>
                <c:pt idx="750">
                  <c:v>5</c:v>
                </c:pt>
                <c:pt idx="751">
                  <c:v>3</c:v>
                </c:pt>
                <c:pt idx="752">
                  <c:v>2</c:v>
                </c:pt>
                <c:pt idx="753">
                  <c:v>5</c:v>
                </c:pt>
                <c:pt idx="754">
                  <c:v>4</c:v>
                </c:pt>
                <c:pt idx="755">
                  <c:v>3</c:v>
                </c:pt>
                <c:pt idx="756">
                  <c:v>2</c:v>
                </c:pt>
                <c:pt idx="757">
                  <c:v>2</c:v>
                </c:pt>
                <c:pt idx="758">
                  <c:v>4</c:v>
                </c:pt>
                <c:pt idx="759">
                  <c:v>2</c:v>
                </c:pt>
                <c:pt idx="760">
                  <c:v>2</c:v>
                </c:pt>
                <c:pt idx="761">
                  <c:v>4</c:v>
                </c:pt>
                <c:pt idx="762">
                  <c:v>3</c:v>
                </c:pt>
                <c:pt idx="763">
                  <c:v>2</c:v>
                </c:pt>
                <c:pt idx="764">
                  <c:v>3</c:v>
                </c:pt>
                <c:pt idx="765">
                  <c:v>4</c:v>
                </c:pt>
                <c:pt idx="766">
                  <c:v>4</c:v>
                </c:pt>
                <c:pt idx="767">
                  <c:v>5</c:v>
                </c:pt>
                <c:pt idx="768">
                  <c:v>5</c:v>
                </c:pt>
                <c:pt idx="769">
                  <c:v>5</c:v>
                </c:pt>
                <c:pt idx="770">
                  <c:v>5</c:v>
                </c:pt>
                <c:pt idx="771">
                  <c:v>5</c:v>
                </c:pt>
                <c:pt idx="772">
                  <c:v>4</c:v>
                </c:pt>
                <c:pt idx="773">
                  <c:v>4</c:v>
                </c:pt>
                <c:pt idx="774">
                  <c:v>2</c:v>
                </c:pt>
                <c:pt idx="775">
                  <c:v>4</c:v>
                </c:pt>
                <c:pt idx="776">
                  <c:v>4</c:v>
                </c:pt>
                <c:pt idx="777">
                  <c:v>4</c:v>
                </c:pt>
                <c:pt idx="778">
                  <c:v>4</c:v>
                </c:pt>
                <c:pt idx="779">
                  <c:v>4</c:v>
                </c:pt>
                <c:pt idx="780">
                  <c:v>2</c:v>
                </c:pt>
                <c:pt idx="781">
                  <c:v>3</c:v>
                </c:pt>
                <c:pt idx="782">
                  <c:v>3</c:v>
                </c:pt>
                <c:pt idx="783">
                  <c:v>3</c:v>
                </c:pt>
                <c:pt idx="784">
                  <c:v>3</c:v>
                </c:pt>
                <c:pt idx="785">
                  <c:v>4</c:v>
                </c:pt>
                <c:pt idx="786">
                  <c:v>5</c:v>
                </c:pt>
                <c:pt idx="787">
                  <c:v>5</c:v>
                </c:pt>
                <c:pt idx="788">
                  <c:v>2</c:v>
                </c:pt>
                <c:pt idx="789">
                  <c:v>4</c:v>
                </c:pt>
                <c:pt idx="790">
                  <c:v>4</c:v>
                </c:pt>
                <c:pt idx="791">
                  <c:v>4</c:v>
                </c:pt>
                <c:pt idx="792">
                  <c:v>5</c:v>
                </c:pt>
                <c:pt idx="793">
                  <c:v>5</c:v>
                </c:pt>
                <c:pt idx="794">
                  <c:v>2</c:v>
                </c:pt>
                <c:pt idx="795">
                  <c:v>5</c:v>
                </c:pt>
                <c:pt idx="796">
                  <c:v>2</c:v>
                </c:pt>
                <c:pt idx="797">
                  <c:v>4</c:v>
                </c:pt>
                <c:pt idx="798">
                  <c:v>4</c:v>
                </c:pt>
                <c:pt idx="799">
                  <c:v>4</c:v>
                </c:pt>
                <c:pt idx="800">
                  <c:v>4</c:v>
                </c:pt>
                <c:pt idx="801">
                  <c:v>4</c:v>
                </c:pt>
                <c:pt idx="802">
                  <c:v>5</c:v>
                </c:pt>
                <c:pt idx="803">
                  <c:v>4</c:v>
                </c:pt>
                <c:pt idx="804">
                  <c:v>4</c:v>
                </c:pt>
                <c:pt idx="805">
                  <c:v>4</c:v>
                </c:pt>
                <c:pt idx="806">
                  <c:v>4</c:v>
                </c:pt>
                <c:pt idx="807">
                  <c:v>4</c:v>
                </c:pt>
                <c:pt idx="808">
                  <c:v>4</c:v>
                </c:pt>
                <c:pt idx="809">
                  <c:v>2</c:v>
                </c:pt>
                <c:pt idx="810">
                  <c:v>3</c:v>
                </c:pt>
                <c:pt idx="811">
                  <c:v>3</c:v>
                </c:pt>
                <c:pt idx="812">
                  <c:v>4</c:v>
                </c:pt>
                <c:pt idx="813">
                  <c:v>3</c:v>
                </c:pt>
                <c:pt idx="814">
                  <c:v>2</c:v>
                </c:pt>
                <c:pt idx="815">
                  <c:v>2</c:v>
                </c:pt>
                <c:pt idx="816">
                  <c:v>4</c:v>
                </c:pt>
                <c:pt idx="817">
                  <c:v>3</c:v>
                </c:pt>
                <c:pt idx="818">
                  <c:v>3</c:v>
                </c:pt>
                <c:pt idx="819">
                  <c:v>2</c:v>
                </c:pt>
                <c:pt idx="820">
                  <c:v>4</c:v>
                </c:pt>
                <c:pt idx="821">
                  <c:v>4</c:v>
                </c:pt>
                <c:pt idx="822">
                  <c:v>6</c:v>
                </c:pt>
                <c:pt idx="823">
                  <c:v>2</c:v>
                </c:pt>
                <c:pt idx="824">
                  <c:v>2</c:v>
                </c:pt>
                <c:pt idx="825">
                  <c:v>2</c:v>
                </c:pt>
                <c:pt idx="826">
                  <c:v>2</c:v>
                </c:pt>
                <c:pt idx="827">
                  <c:v>4</c:v>
                </c:pt>
                <c:pt idx="828">
                  <c:v>3</c:v>
                </c:pt>
                <c:pt idx="829">
                  <c:v>6</c:v>
                </c:pt>
                <c:pt idx="830">
                  <c:v>5</c:v>
                </c:pt>
                <c:pt idx="831">
                  <c:v>4</c:v>
                </c:pt>
                <c:pt idx="832">
                  <c:v>1</c:v>
                </c:pt>
                <c:pt idx="833">
                  <c:v>5</c:v>
                </c:pt>
                <c:pt idx="834">
                  <c:v>4</c:v>
                </c:pt>
                <c:pt idx="835">
                  <c:v>5</c:v>
                </c:pt>
                <c:pt idx="836">
                  <c:v>5</c:v>
                </c:pt>
                <c:pt idx="837">
                  <c:v>1</c:v>
                </c:pt>
                <c:pt idx="838">
                  <c:v>1</c:v>
                </c:pt>
                <c:pt idx="839">
                  <c:v>1</c:v>
                </c:pt>
                <c:pt idx="840">
                  <c:v>2</c:v>
                </c:pt>
                <c:pt idx="841">
                  <c:v>1</c:v>
                </c:pt>
                <c:pt idx="842">
                  <c:v>2</c:v>
                </c:pt>
                <c:pt idx="843">
                  <c:v>2</c:v>
                </c:pt>
                <c:pt idx="844">
                  <c:v>2</c:v>
                </c:pt>
                <c:pt idx="845">
                  <c:v>2</c:v>
                </c:pt>
                <c:pt idx="846">
                  <c:v>1</c:v>
                </c:pt>
                <c:pt idx="847">
                  <c:v>2</c:v>
                </c:pt>
                <c:pt idx="848">
                  <c:v>4</c:v>
                </c:pt>
                <c:pt idx="849">
                  <c:v>4</c:v>
                </c:pt>
                <c:pt idx="850">
                  <c:v>4</c:v>
                </c:pt>
                <c:pt idx="851">
                  <c:v>2</c:v>
                </c:pt>
                <c:pt idx="852">
                  <c:v>4</c:v>
                </c:pt>
                <c:pt idx="853">
                  <c:v>5</c:v>
                </c:pt>
                <c:pt idx="854">
                  <c:v>4</c:v>
                </c:pt>
                <c:pt idx="855">
                  <c:v>5</c:v>
                </c:pt>
                <c:pt idx="856">
                  <c:v>2</c:v>
                </c:pt>
                <c:pt idx="857">
                  <c:v>2</c:v>
                </c:pt>
                <c:pt idx="858">
                  <c:v>2</c:v>
                </c:pt>
                <c:pt idx="859">
                  <c:v>2</c:v>
                </c:pt>
                <c:pt idx="860">
                  <c:v>2</c:v>
                </c:pt>
                <c:pt idx="861">
                  <c:v>4</c:v>
                </c:pt>
                <c:pt idx="862">
                  <c:v>6</c:v>
                </c:pt>
                <c:pt idx="863">
                  <c:v>4</c:v>
                </c:pt>
                <c:pt idx="864">
                  <c:v>4</c:v>
                </c:pt>
                <c:pt idx="865">
                  <c:v>4</c:v>
                </c:pt>
                <c:pt idx="866">
                  <c:v>5</c:v>
                </c:pt>
                <c:pt idx="867">
                  <c:v>6</c:v>
                </c:pt>
                <c:pt idx="868">
                  <c:v>6</c:v>
                </c:pt>
                <c:pt idx="869">
                  <c:v>6</c:v>
                </c:pt>
                <c:pt idx="870">
                  <c:v>4</c:v>
                </c:pt>
                <c:pt idx="871">
                  <c:v>5</c:v>
                </c:pt>
                <c:pt idx="872">
                  <c:v>6</c:v>
                </c:pt>
                <c:pt idx="873">
                  <c:v>4</c:v>
                </c:pt>
                <c:pt idx="874">
                  <c:v>5</c:v>
                </c:pt>
                <c:pt idx="875">
                  <c:v>3</c:v>
                </c:pt>
                <c:pt idx="876">
                  <c:v>4</c:v>
                </c:pt>
                <c:pt idx="877">
                  <c:v>3</c:v>
                </c:pt>
                <c:pt idx="878">
                  <c:v>3</c:v>
                </c:pt>
                <c:pt idx="879">
                  <c:v>3</c:v>
                </c:pt>
                <c:pt idx="880">
                  <c:v>3</c:v>
                </c:pt>
                <c:pt idx="881">
                  <c:v>3</c:v>
                </c:pt>
              </c:numCache>
            </c:numRef>
          </c:yVal>
          <c:smooth val="0"/>
          <c:extLst>
            <c:ext xmlns:c16="http://schemas.microsoft.com/office/drawing/2014/chart" uri="{C3380CC4-5D6E-409C-BE32-E72D297353CC}">
              <c16:uniqueId val="{00000000-443F-4B16-8246-EED7A8892ACE}"/>
            </c:ext>
          </c:extLst>
        </c:ser>
        <c:dLbls>
          <c:showLegendKey val="0"/>
          <c:showVal val="0"/>
          <c:showCatName val="0"/>
          <c:showSerName val="0"/>
          <c:showPercent val="0"/>
          <c:showBubbleSize val="0"/>
        </c:dLbls>
        <c:axId val="278911536"/>
        <c:axId val="278911856"/>
      </c:scatterChart>
      <c:valAx>
        <c:axId val="2789115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ltLang="ja-JP"/>
                  <a:t>log10(</a:t>
                </a:r>
                <a:r>
                  <a:rPr lang="en-US" altLang="ja-JP" baseline="0"/>
                  <a:t>hours after the start of climactic eruption</a:t>
                </a:r>
                <a:r>
                  <a:rPr lang="en-US" altLang="ja-JP"/>
                  <a:t>)</a:t>
                </a:r>
                <a:endParaRPr lang="ja-JP" alt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78911856"/>
        <c:crosses val="autoZero"/>
        <c:crossBetween val="midCat"/>
      </c:valAx>
      <c:valAx>
        <c:axId val="2789118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ltLang="ja-JP"/>
                  <a:t>Volcanic Unrest Classification</a:t>
                </a:r>
                <a:endParaRPr lang="ja-JP" alt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789115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ltLang="ja-JP"/>
              <a:t>VUC approximately correlates log10(MFR)-1.5 </a:t>
            </a:r>
            <a:endParaRPr lang="ja-JP" alt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VUC!$G$2</c:f>
              <c:strCache>
                <c:ptCount val="1"/>
                <c:pt idx="0">
                  <c:v>log MFR</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VUC!$A$3:$A$43</c:f>
              <c:numCache>
                <c:formatCode>General</c:formatCode>
                <c:ptCount val="4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numCache>
            </c:numRef>
          </c:xVal>
          <c:yVal>
            <c:numRef>
              <c:f>VUC!$G$3:$G$43</c:f>
              <c:numCache>
                <c:formatCode>General</c:formatCode>
                <c:ptCount val="41"/>
                <c:pt idx="0">
                  <c:v>0</c:v>
                </c:pt>
                <c:pt idx="1">
                  <c:v>2</c:v>
                </c:pt>
                <c:pt idx="2">
                  <c:v>3</c:v>
                </c:pt>
                <c:pt idx="3">
                  <c:v>4</c:v>
                </c:pt>
                <c:pt idx="4">
                  <c:v>5</c:v>
                </c:pt>
                <c:pt idx="5">
                  <c:v>5</c:v>
                </c:pt>
                <c:pt idx="6">
                  <c:v>5</c:v>
                </c:pt>
                <c:pt idx="7">
                  <c:v>6</c:v>
                </c:pt>
                <c:pt idx="8">
                  <c:v>6</c:v>
                </c:pt>
                <c:pt idx="9">
                  <c:v>6</c:v>
                </c:pt>
                <c:pt idx="10">
                  <c:v>6</c:v>
                </c:pt>
                <c:pt idx="11">
                  <c:v>6</c:v>
                </c:pt>
                <c:pt idx="12">
                  <c:v>7</c:v>
                </c:pt>
                <c:pt idx="13">
                  <c:v>7</c:v>
                </c:pt>
                <c:pt idx="14">
                  <c:v>7</c:v>
                </c:pt>
                <c:pt idx="15">
                  <c:v>7</c:v>
                </c:pt>
                <c:pt idx="16">
                  <c:v>7</c:v>
                </c:pt>
                <c:pt idx="17">
                  <c:v>7</c:v>
                </c:pt>
                <c:pt idx="18">
                  <c:v>7</c:v>
                </c:pt>
                <c:pt idx="19">
                  <c:v>7</c:v>
                </c:pt>
                <c:pt idx="20">
                  <c:v>8</c:v>
                </c:pt>
                <c:pt idx="21">
                  <c:v>8</c:v>
                </c:pt>
                <c:pt idx="22">
                  <c:v>8</c:v>
                </c:pt>
                <c:pt idx="23">
                  <c:v>8</c:v>
                </c:pt>
                <c:pt idx="24">
                  <c:v>8</c:v>
                </c:pt>
                <c:pt idx="25">
                  <c:v>8</c:v>
                </c:pt>
                <c:pt idx="26">
                  <c:v>8</c:v>
                </c:pt>
                <c:pt idx="27">
                  <c:v>8</c:v>
                </c:pt>
                <c:pt idx="28">
                  <c:v>8</c:v>
                </c:pt>
                <c:pt idx="29">
                  <c:v>8</c:v>
                </c:pt>
                <c:pt idx="30">
                  <c:v>8</c:v>
                </c:pt>
                <c:pt idx="31">
                  <c:v>8</c:v>
                </c:pt>
                <c:pt idx="32">
                  <c:v>8</c:v>
                </c:pt>
                <c:pt idx="33">
                  <c:v>8</c:v>
                </c:pt>
                <c:pt idx="34">
                  <c:v>9</c:v>
                </c:pt>
                <c:pt idx="35">
                  <c:v>9</c:v>
                </c:pt>
                <c:pt idx="36">
                  <c:v>9</c:v>
                </c:pt>
                <c:pt idx="37">
                  <c:v>9</c:v>
                </c:pt>
                <c:pt idx="38">
                  <c:v>9</c:v>
                </c:pt>
                <c:pt idx="39">
                  <c:v>9</c:v>
                </c:pt>
                <c:pt idx="40">
                  <c:v>9</c:v>
                </c:pt>
              </c:numCache>
            </c:numRef>
          </c:yVal>
          <c:smooth val="0"/>
          <c:extLst>
            <c:ext xmlns:c16="http://schemas.microsoft.com/office/drawing/2014/chart" uri="{C3380CC4-5D6E-409C-BE32-E72D297353CC}">
              <c16:uniqueId val="{00000000-B9FB-4008-B8AB-52F0E1358C68}"/>
            </c:ext>
          </c:extLst>
        </c:ser>
        <c:ser>
          <c:idx val="1"/>
          <c:order val="1"/>
          <c:tx>
            <c:strRef>
              <c:f>VUC!$H$2</c:f>
              <c:strCache>
                <c:ptCount val="1"/>
                <c:pt idx="0">
                  <c:v>log-1.5</c:v>
                </c:pt>
              </c:strCache>
            </c:strRef>
          </c:tx>
          <c:spPr>
            <a:ln w="19050" cap="rnd">
              <a:solidFill>
                <a:schemeClr val="accent2"/>
              </a:solidFill>
              <a:prstDash val="sysDash"/>
              <a:round/>
            </a:ln>
            <a:effectLst/>
          </c:spPr>
          <c:marker>
            <c:symbol val="none"/>
          </c:marker>
          <c:xVal>
            <c:numRef>
              <c:f>VUC!$A$3:$A$43</c:f>
              <c:numCache>
                <c:formatCode>General</c:formatCode>
                <c:ptCount val="4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numCache>
            </c:numRef>
          </c:xVal>
          <c:yVal>
            <c:numRef>
              <c:f>VUC!$H$3:$H$43</c:f>
              <c:numCache>
                <c:formatCode>General</c:formatCode>
                <c:ptCount val="41"/>
                <c:pt idx="0">
                  <c:v>-1.5</c:v>
                </c:pt>
                <c:pt idx="1">
                  <c:v>0.5</c:v>
                </c:pt>
                <c:pt idx="2">
                  <c:v>1.5</c:v>
                </c:pt>
                <c:pt idx="3">
                  <c:v>2.5</c:v>
                </c:pt>
                <c:pt idx="4">
                  <c:v>3.5</c:v>
                </c:pt>
                <c:pt idx="5">
                  <c:v>3.5</c:v>
                </c:pt>
                <c:pt idx="6">
                  <c:v>3.5</c:v>
                </c:pt>
                <c:pt idx="7">
                  <c:v>4.5</c:v>
                </c:pt>
                <c:pt idx="8">
                  <c:v>4.5</c:v>
                </c:pt>
                <c:pt idx="9">
                  <c:v>4.5</c:v>
                </c:pt>
                <c:pt idx="10">
                  <c:v>4.5</c:v>
                </c:pt>
                <c:pt idx="11">
                  <c:v>4.5</c:v>
                </c:pt>
                <c:pt idx="12">
                  <c:v>5.5</c:v>
                </c:pt>
                <c:pt idx="13">
                  <c:v>5.5</c:v>
                </c:pt>
                <c:pt idx="14">
                  <c:v>5.5</c:v>
                </c:pt>
                <c:pt idx="15">
                  <c:v>5.5</c:v>
                </c:pt>
                <c:pt idx="16">
                  <c:v>5.5</c:v>
                </c:pt>
                <c:pt idx="17">
                  <c:v>5.5</c:v>
                </c:pt>
                <c:pt idx="18">
                  <c:v>5.5</c:v>
                </c:pt>
                <c:pt idx="19">
                  <c:v>5.5</c:v>
                </c:pt>
                <c:pt idx="20">
                  <c:v>6.5</c:v>
                </c:pt>
                <c:pt idx="21">
                  <c:v>6.5</c:v>
                </c:pt>
                <c:pt idx="22">
                  <c:v>6.5</c:v>
                </c:pt>
                <c:pt idx="23">
                  <c:v>6.5</c:v>
                </c:pt>
                <c:pt idx="24">
                  <c:v>6.5</c:v>
                </c:pt>
                <c:pt idx="25">
                  <c:v>6.5</c:v>
                </c:pt>
                <c:pt idx="26">
                  <c:v>6.5</c:v>
                </c:pt>
                <c:pt idx="27">
                  <c:v>6.5</c:v>
                </c:pt>
                <c:pt idx="28">
                  <c:v>6.5</c:v>
                </c:pt>
                <c:pt idx="29">
                  <c:v>6.5</c:v>
                </c:pt>
                <c:pt idx="30">
                  <c:v>6.5</c:v>
                </c:pt>
                <c:pt idx="31">
                  <c:v>6.5</c:v>
                </c:pt>
                <c:pt idx="32">
                  <c:v>6.5</c:v>
                </c:pt>
                <c:pt idx="33">
                  <c:v>6.5</c:v>
                </c:pt>
                <c:pt idx="34">
                  <c:v>7.5</c:v>
                </c:pt>
                <c:pt idx="35">
                  <c:v>7.5</c:v>
                </c:pt>
                <c:pt idx="36">
                  <c:v>7.5</c:v>
                </c:pt>
                <c:pt idx="37">
                  <c:v>7.5</c:v>
                </c:pt>
                <c:pt idx="38">
                  <c:v>7.5</c:v>
                </c:pt>
                <c:pt idx="39">
                  <c:v>7.5</c:v>
                </c:pt>
                <c:pt idx="40">
                  <c:v>7.5</c:v>
                </c:pt>
              </c:numCache>
            </c:numRef>
          </c:yVal>
          <c:smooth val="0"/>
          <c:extLst>
            <c:ext xmlns:c16="http://schemas.microsoft.com/office/drawing/2014/chart" uri="{C3380CC4-5D6E-409C-BE32-E72D297353CC}">
              <c16:uniqueId val="{00000002-B9FB-4008-B8AB-52F0E1358C68}"/>
            </c:ext>
          </c:extLst>
        </c:ser>
        <c:ser>
          <c:idx val="2"/>
          <c:order val="2"/>
          <c:tx>
            <c:strRef>
              <c:f>VUC!$I$2</c:f>
              <c:strCache>
                <c:ptCount val="1"/>
                <c:pt idx="0">
                  <c:v>VUC</c:v>
                </c:pt>
              </c:strCache>
            </c:strRef>
          </c:tx>
          <c:spPr>
            <a:ln w="50800" cap="rnd">
              <a:solidFill>
                <a:schemeClr val="accent4"/>
              </a:solidFill>
              <a:round/>
            </a:ln>
            <a:effectLst/>
          </c:spPr>
          <c:marker>
            <c:symbol val="none"/>
          </c:marker>
          <c:xVal>
            <c:numRef>
              <c:f>VUC!$A$3:$A$43</c:f>
              <c:numCache>
                <c:formatCode>General</c:formatCode>
                <c:ptCount val="4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numCache>
            </c:numRef>
          </c:xVal>
          <c:yVal>
            <c:numRef>
              <c:f>VUC!$I$3:$I$43</c:f>
              <c:numCache>
                <c:formatCode>General</c:formatCode>
                <c:ptCount val="41"/>
                <c:pt idx="0">
                  <c:v>2</c:v>
                </c:pt>
                <c:pt idx="1">
                  <c:v>3</c:v>
                </c:pt>
                <c:pt idx="2">
                  <c:v>4</c:v>
                </c:pt>
                <c:pt idx="3">
                  <c:v>4</c:v>
                </c:pt>
                <c:pt idx="4">
                  <c:v>4</c:v>
                </c:pt>
                <c:pt idx="5">
                  <c:v>4</c:v>
                </c:pt>
                <c:pt idx="6">
                  <c:v>4</c:v>
                </c:pt>
                <c:pt idx="7">
                  <c:v>4</c:v>
                </c:pt>
                <c:pt idx="8">
                  <c:v>5</c:v>
                </c:pt>
                <c:pt idx="9">
                  <c:v>5</c:v>
                </c:pt>
                <c:pt idx="10">
                  <c:v>5</c:v>
                </c:pt>
                <c:pt idx="11">
                  <c:v>5</c:v>
                </c:pt>
                <c:pt idx="12">
                  <c:v>5</c:v>
                </c:pt>
                <c:pt idx="13">
                  <c:v>5</c:v>
                </c:pt>
                <c:pt idx="14">
                  <c:v>5</c:v>
                </c:pt>
                <c:pt idx="15">
                  <c:v>6</c:v>
                </c:pt>
                <c:pt idx="16">
                  <c:v>6</c:v>
                </c:pt>
                <c:pt idx="17">
                  <c:v>6</c:v>
                </c:pt>
                <c:pt idx="18">
                  <c:v>6</c:v>
                </c:pt>
                <c:pt idx="19">
                  <c:v>6</c:v>
                </c:pt>
                <c:pt idx="20">
                  <c:v>6</c:v>
                </c:pt>
                <c:pt idx="21">
                  <c:v>6</c:v>
                </c:pt>
                <c:pt idx="22">
                  <c:v>6</c:v>
                </c:pt>
                <c:pt idx="23">
                  <c:v>6</c:v>
                </c:pt>
                <c:pt idx="24">
                  <c:v>6</c:v>
                </c:pt>
                <c:pt idx="25">
                  <c:v>6</c:v>
                </c:pt>
                <c:pt idx="26">
                  <c:v>6</c:v>
                </c:pt>
                <c:pt idx="27">
                  <c:v>6</c:v>
                </c:pt>
                <c:pt idx="28">
                  <c:v>6</c:v>
                </c:pt>
                <c:pt idx="29">
                  <c:v>6</c:v>
                </c:pt>
                <c:pt idx="30">
                  <c:v>7</c:v>
                </c:pt>
                <c:pt idx="31">
                  <c:v>7</c:v>
                </c:pt>
                <c:pt idx="32">
                  <c:v>7</c:v>
                </c:pt>
                <c:pt idx="33">
                  <c:v>7</c:v>
                </c:pt>
                <c:pt idx="34">
                  <c:v>7</c:v>
                </c:pt>
                <c:pt idx="35">
                  <c:v>7</c:v>
                </c:pt>
                <c:pt idx="36">
                  <c:v>7</c:v>
                </c:pt>
                <c:pt idx="37">
                  <c:v>7</c:v>
                </c:pt>
                <c:pt idx="38">
                  <c:v>7</c:v>
                </c:pt>
                <c:pt idx="39">
                  <c:v>7</c:v>
                </c:pt>
                <c:pt idx="40">
                  <c:v>7</c:v>
                </c:pt>
              </c:numCache>
            </c:numRef>
          </c:yVal>
          <c:smooth val="0"/>
          <c:extLst>
            <c:ext xmlns:c16="http://schemas.microsoft.com/office/drawing/2014/chart" uri="{C3380CC4-5D6E-409C-BE32-E72D297353CC}">
              <c16:uniqueId val="{00000003-B9FB-4008-B8AB-52F0E1358C68}"/>
            </c:ext>
          </c:extLst>
        </c:ser>
        <c:dLbls>
          <c:showLegendKey val="0"/>
          <c:showVal val="0"/>
          <c:showCatName val="0"/>
          <c:showSerName val="0"/>
          <c:showPercent val="0"/>
          <c:showBubbleSize val="0"/>
        </c:dLbls>
        <c:axId val="556593336"/>
        <c:axId val="556593656"/>
      </c:scatterChart>
      <c:valAx>
        <c:axId val="556593336"/>
        <c:scaling>
          <c:orientation val="minMax"/>
          <c:max val="42"/>
          <c:min val="0"/>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ltLang="ja-JP"/>
                  <a:t>Plume Height [km]</a:t>
                </a:r>
                <a:endParaRPr lang="ja-JP" alt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6593656"/>
        <c:crosses val="autoZero"/>
        <c:crossBetween val="midCat"/>
      </c:valAx>
      <c:valAx>
        <c:axId val="556593656"/>
        <c:scaling>
          <c:orientation val="minMax"/>
          <c:min val="-2"/>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ltLang="ja-JP"/>
                  <a:t>log10(MFR</a:t>
                </a:r>
                <a:r>
                  <a:rPr lang="en-US" altLang="ja-JP" baseline="0"/>
                  <a:t> [kg/s]) and VUC</a:t>
                </a:r>
                <a:endParaRPr lang="ja-JP" alt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6593336"/>
        <c:crosses val="autoZero"/>
        <c:crossBetween val="midCat"/>
        <c:majorUnit val="1"/>
      </c:valAx>
      <c:spPr>
        <a:noFill/>
        <a:ln>
          <a:noFill/>
        </a:ln>
        <a:effectLst/>
      </c:spPr>
    </c:plotArea>
    <c:legend>
      <c:legendPos val="r"/>
      <c:layout>
        <c:manualLayout>
          <c:xMode val="edge"/>
          <c:yMode val="edge"/>
          <c:x val="0.77703761447456354"/>
          <c:y val="0.35040427238261884"/>
          <c:w val="0.18669794864905309"/>
          <c:h val="0.23437664041994752"/>
        </c:manualLayout>
      </c:layout>
      <c:overlay val="1"/>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3.xml"/></Relationships>
</file>

<file path=xl/drawings/_rels/drawing2.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5</xdr:col>
      <xdr:colOff>920708</xdr:colOff>
      <xdr:row>65</xdr:row>
      <xdr:rowOff>149520</xdr:rowOff>
    </xdr:from>
    <xdr:to>
      <xdr:col>23</xdr:col>
      <xdr:colOff>214017</xdr:colOff>
      <xdr:row>79</xdr:row>
      <xdr:rowOff>204603</xdr:rowOff>
    </xdr:to>
    <xdr:graphicFrame macro="">
      <xdr:nvGraphicFramePr>
        <xdr:cNvPr id="2" name="グラフ 1">
          <a:extLst>
            <a:ext uri="{FF2B5EF4-FFF2-40B4-BE49-F238E27FC236}">
              <a16:creationId xmlns:a16="http://schemas.microsoft.com/office/drawing/2014/main" id="{7EDBC7AC-74DE-4C4A-AC21-5DFEA40E4BE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942623</xdr:colOff>
      <xdr:row>81</xdr:row>
      <xdr:rowOff>130387</xdr:rowOff>
    </xdr:from>
    <xdr:to>
      <xdr:col>24</xdr:col>
      <xdr:colOff>421341</xdr:colOff>
      <xdr:row>96</xdr:row>
      <xdr:rowOff>177707</xdr:rowOff>
    </xdr:to>
    <xdr:graphicFrame macro="">
      <xdr:nvGraphicFramePr>
        <xdr:cNvPr id="4" name="グラフ 3">
          <a:extLst>
            <a:ext uri="{FF2B5EF4-FFF2-40B4-BE49-F238E27FC236}">
              <a16:creationId xmlns:a16="http://schemas.microsoft.com/office/drawing/2014/main" id="{C1A7363F-F07C-470C-AF67-BC15937603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489857</xdr:colOff>
      <xdr:row>23</xdr:row>
      <xdr:rowOff>97541</xdr:rowOff>
    </xdr:from>
    <xdr:to>
      <xdr:col>18</xdr:col>
      <xdr:colOff>241118</xdr:colOff>
      <xdr:row>27</xdr:row>
      <xdr:rowOff>176205</xdr:rowOff>
    </xdr:to>
    <xdr:sp macro="" textlink="">
      <xdr:nvSpPr>
        <xdr:cNvPr id="6" name="テキスト ボックス 5">
          <a:extLst>
            <a:ext uri="{FF2B5EF4-FFF2-40B4-BE49-F238E27FC236}">
              <a16:creationId xmlns:a16="http://schemas.microsoft.com/office/drawing/2014/main" id="{88D781CD-9AAC-43E6-8529-19F49F53087C}"/>
            </a:ext>
          </a:extLst>
        </xdr:cNvPr>
        <xdr:cNvSpPr txBox="1"/>
      </xdr:nvSpPr>
      <xdr:spPr>
        <a:xfrm>
          <a:off x="5755821" y="5417934"/>
          <a:ext cx="7289618" cy="1003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t>The relationship between Plume height (H km)</a:t>
          </a:r>
          <a:r>
            <a:rPr kumimoji="1" lang="en-US" altLang="ja-JP" sz="1400" baseline="0"/>
            <a:t> and Volumetric Flow Rate (V m3/s DRE)</a:t>
          </a:r>
        </a:p>
        <a:p>
          <a:r>
            <a:rPr kumimoji="1" lang="en-US" altLang="ja-JP" sz="1400" baseline="0"/>
            <a:t>H = 2.00 * V^0.24 (Mastin et al. 2009) </a:t>
          </a:r>
          <a:r>
            <a:rPr kumimoji="1" lang="ja-JP" altLang="en-US" sz="1400" baseline="0"/>
            <a:t>⇔ </a:t>
          </a:r>
          <a:r>
            <a:rPr kumimoji="1" lang="en-US" altLang="ja-JP" sz="1400" baseline="0"/>
            <a:t>V=power(H/2, 1/0.24)</a:t>
          </a:r>
        </a:p>
        <a:p>
          <a:r>
            <a:rPr kumimoji="1" lang="en-US" altLang="ja-JP" sz="1400" baseline="0"/>
            <a:t>H = 1.67 * V^0.259 (Sparks et al. 1997)</a:t>
          </a:r>
        </a:p>
        <a:p>
          <a:endParaRPr kumimoji="1" lang="en-US" altLang="ja-JP" sz="1400" baseline="0"/>
        </a:p>
      </xdr:txBody>
    </xdr:sp>
    <xdr:clientData/>
  </xdr:twoCellAnchor>
  <xdr:twoCellAnchor editAs="oneCell">
    <xdr:from>
      <xdr:col>3</xdr:col>
      <xdr:colOff>115746</xdr:colOff>
      <xdr:row>12</xdr:row>
      <xdr:rowOff>50880</xdr:rowOff>
    </xdr:from>
    <xdr:to>
      <xdr:col>13</xdr:col>
      <xdr:colOff>7037</xdr:colOff>
      <xdr:row>35</xdr:row>
      <xdr:rowOff>10053</xdr:rowOff>
    </xdr:to>
    <xdr:pic>
      <xdr:nvPicPr>
        <xdr:cNvPr id="7" name="図 6">
          <a:extLst>
            <a:ext uri="{FF2B5EF4-FFF2-40B4-BE49-F238E27FC236}">
              <a16:creationId xmlns:a16="http://schemas.microsoft.com/office/drawing/2014/main" id="{B8E7F5E1-E488-4E9E-B385-A2EC74FC7038}"/>
            </a:ext>
          </a:extLst>
        </xdr:cNvPr>
        <xdr:cNvPicPr>
          <a:picLocks noChangeAspect="1"/>
        </xdr:cNvPicPr>
      </xdr:nvPicPr>
      <xdr:blipFill>
        <a:blip xmlns:r="http://schemas.openxmlformats.org/officeDocument/2006/relationships" r:embed="rId3"/>
        <a:stretch>
          <a:fillRect/>
        </a:stretch>
      </xdr:blipFill>
      <xdr:spPr>
        <a:xfrm>
          <a:off x="2096946" y="2847868"/>
          <a:ext cx="7278209" cy="5320067"/>
        </a:xfrm>
        <a:prstGeom prst="rect">
          <a:avLst/>
        </a:prstGeom>
      </xdr:spPr>
    </xdr:pic>
    <xdr:clientData/>
  </xdr:twoCellAnchor>
  <xdr:twoCellAnchor>
    <xdr:from>
      <xdr:col>5</xdr:col>
      <xdr:colOff>923221</xdr:colOff>
      <xdr:row>47</xdr:row>
      <xdr:rowOff>119455</xdr:rowOff>
    </xdr:from>
    <xdr:to>
      <xdr:col>28</xdr:col>
      <xdr:colOff>112058</xdr:colOff>
      <xdr:row>65</xdr:row>
      <xdr:rowOff>122542</xdr:rowOff>
    </xdr:to>
    <xdr:graphicFrame macro="">
      <xdr:nvGraphicFramePr>
        <xdr:cNvPr id="3" name="グラフ 2">
          <a:extLst>
            <a:ext uri="{FF2B5EF4-FFF2-40B4-BE49-F238E27FC236}">
              <a16:creationId xmlns:a16="http://schemas.microsoft.com/office/drawing/2014/main" id="{1E10DD66-CF05-4B49-9610-D31F65AD3A2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2335530</xdr:colOff>
      <xdr:row>5</xdr:row>
      <xdr:rowOff>102869</xdr:rowOff>
    </xdr:from>
    <xdr:to>
      <xdr:col>22</xdr:col>
      <xdr:colOff>638174</xdr:colOff>
      <xdr:row>42</xdr:row>
      <xdr:rowOff>83820</xdr:rowOff>
    </xdr:to>
    <xdr:sp macro="" textlink="">
      <xdr:nvSpPr>
        <xdr:cNvPr id="2" name="テキスト ボックス 1">
          <a:extLst>
            <a:ext uri="{FF2B5EF4-FFF2-40B4-BE49-F238E27FC236}">
              <a16:creationId xmlns:a16="http://schemas.microsoft.com/office/drawing/2014/main" id="{9700F070-D677-48FA-9D41-9A1C4DCC0AE0}"/>
            </a:ext>
          </a:extLst>
        </xdr:cNvPr>
        <xdr:cNvSpPr txBox="1"/>
      </xdr:nvSpPr>
      <xdr:spPr>
        <a:xfrm>
          <a:off x="11014710" y="1245869"/>
          <a:ext cx="5412104" cy="843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b="1" kern="0" spc="0"/>
            <a:t>VUC:</a:t>
          </a:r>
          <a:r>
            <a:rPr kumimoji="1" lang="en-US" altLang="ja-JP" sz="900" b="1" kern="0" spc="0" baseline="0"/>
            <a:t> </a:t>
          </a:r>
          <a:r>
            <a:rPr kumimoji="1" lang="en-US" altLang="ja-JP" sz="900" b="1" kern="0" spc="0"/>
            <a:t>Volcanic</a:t>
          </a:r>
          <a:r>
            <a:rPr kumimoji="1" lang="en-US" altLang="ja-JP" sz="900" b="1" kern="0" spc="0" baseline="0"/>
            <a:t> Unrest Classification</a:t>
          </a:r>
          <a:r>
            <a:rPr kumimoji="1" lang="ja-JP" altLang="en-US" sz="900" b="1" kern="0" spc="0"/>
            <a:t>（試験的分類）</a:t>
          </a:r>
          <a:endParaRPr kumimoji="1" lang="en-US" altLang="ja-JP" sz="900" b="0" kern="0" spc="0"/>
        </a:p>
        <a:p>
          <a:r>
            <a:rPr kumimoji="1" lang="en-US" altLang="ja-JP" sz="900" b="0" kern="0" spc="0"/>
            <a:t>0: </a:t>
          </a:r>
          <a:r>
            <a:rPr kumimoji="1" lang="ja-JP" altLang="en-US" sz="900" b="0" kern="0" spc="0"/>
            <a:t>活動なし</a:t>
          </a:r>
          <a:endParaRPr kumimoji="1" lang="en-US" altLang="ja-JP" sz="900" b="0" kern="0" spc="0"/>
        </a:p>
        <a:p>
          <a:r>
            <a:rPr kumimoji="1" lang="en-US" altLang="ja-JP" sz="900" b="0" kern="0" spc="0"/>
            <a:t>1:</a:t>
          </a:r>
          <a:r>
            <a:rPr kumimoji="1" lang="en-US" altLang="ja-JP" sz="900" b="0" kern="0" spc="0" baseline="0"/>
            <a:t> </a:t>
          </a:r>
          <a:r>
            <a:rPr kumimoji="1" lang="ja-JP" altLang="en-US" sz="900" b="0" kern="0" spc="0" baseline="0"/>
            <a:t>ゆるやかな変状（地震活動のゆるやかな変化、潜在溶岩ドーム以外の地殻変動、噴気異常など）</a:t>
          </a:r>
          <a:endParaRPr kumimoji="1" lang="en-US" altLang="ja-JP" sz="900" b="0" kern="0" spc="0" baseline="0"/>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kern="0" spc="0">
              <a:solidFill>
                <a:schemeClr val="dk1"/>
              </a:solidFill>
              <a:effectLst/>
              <a:latin typeface="+mn-lt"/>
              <a:ea typeface="+mn-ea"/>
              <a:cs typeface="+mn-cs"/>
            </a:rPr>
            <a:t>2:</a:t>
          </a:r>
          <a:r>
            <a:rPr kumimoji="1" lang="en-US" altLang="ja-JP" sz="900" b="0" kern="0" spc="0" baseline="0">
              <a:solidFill>
                <a:schemeClr val="dk1"/>
              </a:solidFill>
              <a:effectLst/>
              <a:latin typeface="+mn-lt"/>
              <a:ea typeface="+mn-ea"/>
              <a:cs typeface="+mn-cs"/>
            </a:rPr>
            <a:t> </a:t>
          </a:r>
          <a:r>
            <a:rPr kumimoji="1" lang="ja-JP" altLang="en-US" sz="900" b="0" kern="0" spc="0" baseline="0">
              <a:solidFill>
                <a:schemeClr val="dk1"/>
              </a:solidFill>
              <a:effectLst/>
              <a:latin typeface="+mn-lt"/>
              <a:ea typeface="+mn-ea"/>
              <a:cs typeface="+mn-cs"/>
            </a:rPr>
            <a:t>急激な</a:t>
          </a:r>
          <a:r>
            <a:rPr kumimoji="1" lang="ja-JP" altLang="ja-JP" sz="900" b="0" kern="0" spc="0" baseline="0">
              <a:solidFill>
                <a:schemeClr val="dk1"/>
              </a:solidFill>
              <a:effectLst/>
              <a:latin typeface="+mn-lt"/>
              <a:ea typeface="+mn-ea"/>
              <a:cs typeface="+mn-cs"/>
            </a:rPr>
            <a:t>変状（</a:t>
          </a:r>
          <a:r>
            <a:rPr kumimoji="1" lang="en-US" altLang="ja-JP" sz="900" b="0" kern="0" spc="0" baseline="0">
              <a:solidFill>
                <a:schemeClr val="dk1"/>
              </a:solidFill>
              <a:effectLst/>
              <a:latin typeface="+mn-lt"/>
              <a:ea typeface="+mn-ea"/>
              <a:cs typeface="+mn-cs"/>
            </a:rPr>
            <a:t>&lt;24h</a:t>
          </a:r>
          <a:r>
            <a:rPr kumimoji="1" lang="ja-JP" altLang="en-US" sz="900" b="0" kern="0" spc="0" baseline="0">
              <a:solidFill>
                <a:schemeClr val="dk1"/>
              </a:solidFill>
              <a:effectLst/>
              <a:latin typeface="+mn-lt"/>
              <a:ea typeface="+mn-ea"/>
              <a:cs typeface="+mn-cs"/>
            </a:rPr>
            <a:t>未満での地震活動の活発化</a:t>
          </a:r>
          <a:r>
            <a:rPr kumimoji="1" lang="ja-JP" altLang="ja-JP" sz="900" b="0" kern="0" spc="0" baseline="0">
              <a:solidFill>
                <a:schemeClr val="dk1"/>
              </a:solidFill>
              <a:effectLst/>
              <a:latin typeface="+mn-lt"/>
              <a:ea typeface="+mn-ea"/>
              <a:cs typeface="+mn-cs"/>
            </a:rPr>
            <a:t>、</a:t>
          </a:r>
          <a:r>
            <a:rPr kumimoji="1" lang="en-US" altLang="ja-JP" sz="900" b="0" kern="0" spc="0" baseline="0">
              <a:solidFill>
                <a:schemeClr val="dk1"/>
              </a:solidFill>
              <a:effectLst/>
              <a:latin typeface="+mn-lt"/>
              <a:ea typeface="+mn-ea"/>
              <a:cs typeface="+mn-cs"/>
            </a:rPr>
            <a:t>M&gt;5</a:t>
          </a:r>
          <a:r>
            <a:rPr kumimoji="1" lang="ja-JP" altLang="en-US" sz="900" b="0" kern="0" spc="0" baseline="0">
              <a:solidFill>
                <a:schemeClr val="dk1"/>
              </a:solidFill>
              <a:effectLst/>
              <a:latin typeface="+mn-lt"/>
              <a:ea typeface="+mn-ea"/>
              <a:cs typeface="+mn-cs"/>
            </a:rPr>
            <a:t>の地震、潜在溶岩ドームを疑わせる</a:t>
          </a:r>
          <a:r>
            <a:rPr kumimoji="1" lang="ja-JP" altLang="ja-JP" sz="900" b="0" kern="0" spc="0" baseline="0">
              <a:solidFill>
                <a:schemeClr val="dk1"/>
              </a:solidFill>
              <a:effectLst/>
              <a:latin typeface="+mn-lt"/>
              <a:ea typeface="+mn-ea"/>
              <a:cs typeface="+mn-cs"/>
            </a:rPr>
            <a:t>地殻変動、噴気</a:t>
          </a:r>
          <a:r>
            <a:rPr kumimoji="1" lang="ja-JP" altLang="en-US" sz="900" b="0" kern="0" spc="0" baseline="0">
              <a:solidFill>
                <a:schemeClr val="dk1"/>
              </a:solidFill>
              <a:effectLst/>
              <a:latin typeface="+mn-lt"/>
              <a:ea typeface="+mn-ea"/>
              <a:cs typeface="+mn-cs"/>
            </a:rPr>
            <a:t>の暴噴</a:t>
          </a:r>
          <a:r>
            <a:rPr kumimoji="1" lang="ja-JP" altLang="ja-JP" sz="900" b="0" kern="0" spc="0" baseline="0">
              <a:solidFill>
                <a:schemeClr val="dk1"/>
              </a:solidFill>
              <a:effectLst/>
              <a:latin typeface="+mn-lt"/>
              <a:ea typeface="+mn-ea"/>
              <a:cs typeface="+mn-cs"/>
            </a:rPr>
            <a:t>など）</a:t>
          </a:r>
          <a:endParaRPr kumimoji="1" lang="en-US" altLang="ja-JP" sz="900" b="0" kern="0" spc="0" baseline="0"/>
        </a:p>
        <a:p>
          <a:r>
            <a:rPr kumimoji="1" lang="en-US" altLang="ja-JP" sz="900" b="0" kern="0" spc="0" baseline="0"/>
            <a:t>3: </a:t>
          </a:r>
          <a:r>
            <a:rPr kumimoji="1" lang="ja-JP" altLang="en-US" sz="900" b="0" kern="0" spc="0" baseline="0"/>
            <a:t>弱い噴火（ある程度の定常性があるもの、溶岩噴出・灰噴火など）</a:t>
          </a:r>
          <a:endParaRPr kumimoji="1" lang="en-US" altLang="ja-JP" sz="900" b="0" kern="0" spc="0" baseline="0"/>
        </a:p>
        <a:p>
          <a:r>
            <a:rPr kumimoji="1" lang="en-US" altLang="ja-JP" sz="900" b="0" kern="0" spc="0" baseline="0"/>
            <a:t>4: </a:t>
          </a:r>
          <a:r>
            <a:rPr kumimoji="1" lang="ja-JP" altLang="en-US" sz="900" b="0" kern="0" spc="0" baseline="0"/>
            <a:t>小さな噴火（定常性がないが小さい噴火、水蒸気爆発・ブルカノ式噴火など間欠的なものも含む）</a:t>
          </a:r>
          <a:endParaRPr kumimoji="1" lang="en-US" altLang="ja-JP" sz="900" b="0" kern="0" spc="0" baseline="0"/>
        </a:p>
        <a:p>
          <a:r>
            <a:rPr kumimoji="1" lang="en-US" altLang="ja-JP" sz="900" b="0" kern="0" spc="0" baseline="0"/>
            <a:t>5: </a:t>
          </a:r>
          <a:r>
            <a:rPr kumimoji="1" lang="ja-JP" altLang="en-US" sz="900" b="0" kern="0" spc="0" baseline="0"/>
            <a:t>大きな噴火（噴煙柱高度</a:t>
          </a:r>
          <a:r>
            <a:rPr kumimoji="1" lang="en-US" altLang="ja-JP" sz="900" b="0" kern="0" spc="0" baseline="0"/>
            <a:t>10-15km</a:t>
          </a:r>
          <a:r>
            <a:rPr kumimoji="1" lang="ja-JP" altLang="en-US" sz="900" b="0" kern="0" spc="0" baseline="0"/>
            <a:t>、サブプリニー式噴火相当）</a:t>
          </a:r>
          <a:endParaRPr kumimoji="1" lang="en-US" altLang="ja-JP" sz="900" b="0" kern="0" spc="0" baseline="0"/>
        </a:p>
        <a:p>
          <a:r>
            <a:rPr kumimoji="1" lang="en-US" altLang="ja-JP" sz="900" b="0" kern="0" spc="0" baseline="0"/>
            <a:t>5.5: </a:t>
          </a:r>
          <a:r>
            <a:rPr kumimoji="1" lang="ja-JP" altLang="en-US" sz="900" b="0" kern="0" spc="0" baseline="0"/>
            <a:t>記載状プリニー式噴火だが規模が不明なもの</a:t>
          </a:r>
          <a:endParaRPr kumimoji="1" lang="en-US" altLang="ja-JP" sz="900" b="0" kern="0" spc="0" baseline="0"/>
        </a:p>
        <a:p>
          <a:r>
            <a:rPr kumimoji="1" lang="en-US" altLang="ja-JP" sz="900" b="0" kern="0" spc="0" baseline="0"/>
            <a:t>6: </a:t>
          </a:r>
          <a:r>
            <a:rPr kumimoji="1" lang="ja-JP" altLang="en-US" sz="900" b="0" kern="0" spc="0" baseline="0"/>
            <a:t>非常に大きな噴火（噴煙柱高度</a:t>
          </a:r>
          <a:r>
            <a:rPr kumimoji="1" lang="en-US" altLang="ja-JP" sz="900" b="0" kern="0" spc="0" baseline="0"/>
            <a:t>15-30km</a:t>
          </a:r>
          <a:r>
            <a:rPr kumimoji="1" lang="ja-JP" altLang="en-US" sz="900" b="0" kern="0" spc="0" baseline="0"/>
            <a:t>、文句なしのプリニー式噴火</a:t>
          </a:r>
          <a:endParaRPr kumimoji="1" lang="en-US" altLang="ja-JP" sz="900" b="0" kern="0" spc="0" baseline="0"/>
        </a:p>
        <a:p>
          <a:r>
            <a:rPr kumimoji="1" lang="en-US" altLang="ja-JP" sz="900" b="0" kern="0" spc="0" baseline="0"/>
            <a:t>7: </a:t>
          </a:r>
          <a:r>
            <a:rPr kumimoji="1" lang="ja-JP" altLang="en-US" sz="900" b="0" kern="0" spc="0" baseline="0"/>
            <a:t>巨大噴火（噴煙柱高度</a:t>
          </a:r>
          <a:r>
            <a:rPr kumimoji="1" lang="en-US" altLang="ja-JP" sz="900" b="0" kern="0" spc="0" baseline="0"/>
            <a:t>&gt;30km</a:t>
          </a:r>
          <a:r>
            <a:rPr kumimoji="1" lang="ja-JP" altLang="en-US" sz="900" b="0" kern="0" spc="0" baseline="0"/>
            <a:t>、大規模火砕流、二桁時間で</a:t>
          </a:r>
          <a:r>
            <a:rPr kumimoji="1" lang="en-US" altLang="ja-JP" sz="900" b="0" kern="0" spc="0" baseline="0"/>
            <a:t>10 km3 DRE</a:t>
          </a:r>
          <a:r>
            <a:rPr kumimoji="1" lang="ja-JP" altLang="en-US" sz="900" b="0" kern="0" spc="0" baseline="0"/>
            <a:t>あたりを満たすもの）</a:t>
          </a:r>
          <a:endParaRPr kumimoji="1" lang="en-US" altLang="ja-JP" sz="900" b="0" kern="0" spc="0" baseline="0"/>
        </a:p>
        <a:p>
          <a:r>
            <a:rPr kumimoji="1" lang="ja-JP" altLang="en-US" sz="900" b="0" kern="0" spc="0"/>
            <a:t>火山性でない－火山近傍でない地震には言及しない。</a:t>
          </a:r>
          <a:endParaRPr kumimoji="1" lang="en-US" altLang="ja-JP" sz="900" b="0" kern="0" spc="0"/>
        </a:p>
        <a:p>
          <a:r>
            <a:rPr kumimoji="1" lang="ja-JP" altLang="en-US" sz="900" b="0" kern="0" spc="0"/>
            <a:t>ポイント</a:t>
          </a:r>
          <a:r>
            <a:rPr kumimoji="1" lang="en-US" altLang="ja-JP" sz="900" b="0" kern="0" spc="0"/>
            <a:t>: 1</a:t>
          </a:r>
          <a:r>
            <a:rPr kumimoji="1" lang="ja-JP" altLang="en-US" sz="900" b="0" kern="0" spc="0"/>
            <a:t>は</a:t>
          </a:r>
          <a:r>
            <a:rPr kumimoji="1" lang="en-US" altLang="ja-JP" sz="900" b="0" kern="0" spc="0"/>
            <a:t>2</a:t>
          </a:r>
          <a:r>
            <a:rPr kumimoji="1" lang="ja-JP" altLang="en-US" sz="900" b="0" kern="0" spc="0"/>
            <a:t>を、</a:t>
          </a:r>
          <a:r>
            <a:rPr kumimoji="1" lang="en-US" altLang="ja-JP" sz="900" b="0" kern="0" spc="0"/>
            <a:t>2</a:t>
          </a:r>
          <a:r>
            <a:rPr kumimoji="1" lang="ja-JP" altLang="en-US" sz="900" b="0" kern="0" spc="0"/>
            <a:t>は</a:t>
          </a:r>
          <a:r>
            <a:rPr kumimoji="1" lang="en-US" altLang="ja-JP" sz="900" b="0" kern="0" spc="0"/>
            <a:t>3</a:t>
          </a:r>
          <a:r>
            <a:rPr kumimoji="1" lang="ja-JP" altLang="en-US" sz="900" b="0" kern="0" spc="0"/>
            <a:t>を、以降同様に上位ランクは下位ランクを内包しているため、可視化しやすい。</a:t>
          </a:r>
          <a:endParaRPr kumimoji="1" lang="en-US" altLang="ja-JP" sz="900" b="0" kern="0" spc="0"/>
        </a:p>
        <a:p>
          <a:endParaRPr kumimoji="1" lang="en-US" altLang="ja-JP" sz="900" b="1" kern="0" spc="0"/>
        </a:p>
        <a:p>
          <a:r>
            <a:rPr kumimoji="1" lang="en-US" altLang="ja-JP" sz="900" b="1" kern="0" spc="0"/>
            <a:t>Excel</a:t>
          </a:r>
          <a:r>
            <a:rPr kumimoji="1" lang="ja-JP" altLang="en-US" sz="900" b="1" kern="0" spc="0"/>
            <a:t>の仕様と収集データの特性</a:t>
          </a:r>
          <a:r>
            <a:rPr kumimoji="1" lang="en-US" altLang="ja-JP" sz="900" b="1" kern="0" spc="0"/>
            <a:t>(</a:t>
          </a:r>
          <a:r>
            <a:rPr kumimoji="1" lang="ja-JP" altLang="en-US" sz="900" b="1" kern="0" spc="0"/>
            <a:t>曜日がない・タイムゾーン</a:t>
          </a:r>
          <a:r>
            <a:rPr kumimoji="1" lang="en-US" altLang="ja-JP" sz="900" b="1" kern="0" spc="0"/>
            <a:t>)</a:t>
          </a:r>
          <a:r>
            <a:rPr kumimoji="1" lang="ja-JP" altLang="en-US" sz="900" b="1" kern="0" spc="0"/>
            <a:t>上、日付データの取り扱い要注意</a:t>
          </a:r>
          <a:endParaRPr kumimoji="1" lang="en-US" altLang="ja-JP" sz="900" b="1" kern="0" spc="0"/>
        </a:p>
        <a:p>
          <a:r>
            <a:rPr kumimoji="1" lang="ja-JP" altLang="en-US" sz="900" kern="0" spc="0"/>
            <a:t>・</a:t>
          </a:r>
          <a:r>
            <a:rPr kumimoji="1" lang="en-US" altLang="ja-JP" sz="900" kern="0" spc="0"/>
            <a:t>Excel</a:t>
          </a:r>
          <a:r>
            <a:rPr kumimoji="1" lang="ja-JP" altLang="en-US" sz="900" kern="0" spc="0"/>
            <a:t>標準の内部時刻データはシリアル値</a:t>
          </a:r>
          <a:r>
            <a:rPr kumimoji="1" lang="en-US" altLang="ja-JP" sz="900" kern="0" spc="0"/>
            <a:t>(1900/1/1</a:t>
          </a:r>
          <a:r>
            <a:rPr kumimoji="1" lang="ja-JP" altLang="en-US" sz="900" kern="0" spc="0"/>
            <a:t>からの経過日数</a:t>
          </a:r>
          <a:r>
            <a:rPr kumimoji="1" lang="en-US" altLang="ja-JP" sz="900" kern="0" spc="0"/>
            <a:t>)</a:t>
          </a:r>
          <a:r>
            <a:rPr kumimoji="1" lang="ja-JP" altLang="en-US" sz="900" kern="0" spc="0"/>
            <a:t>だが、これでセルに格納すると余計な日付変換を勝手に始め更に混乱する。そこでシリアル値を</a:t>
          </a:r>
          <a:r>
            <a:rPr kumimoji="1" lang="en-US" altLang="ja-JP" sz="900" kern="0" spc="0"/>
            <a:t>Unix</a:t>
          </a:r>
          <a:r>
            <a:rPr kumimoji="1" lang="ja-JP" altLang="en-US" sz="900" kern="0" spc="0"/>
            <a:t>秒</a:t>
          </a:r>
          <a:r>
            <a:rPr kumimoji="1" lang="en-US" altLang="ja-JP" sz="900" kern="0" spc="0"/>
            <a:t>(1950/1/1</a:t>
          </a:r>
          <a:r>
            <a:rPr kumimoji="1" lang="ja-JP" altLang="en-US" sz="900" kern="0" spc="0"/>
            <a:t>からの経過秒に変換している。</a:t>
          </a:r>
          <a:endParaRPr kumimoji="1" lang="en-US" altLang="ja-JP" sz="900" kern="0" spc="0"/>
        </a:p>
        <a:p>
          <a:r>
            <a:rPr kumimoji="1" lang="ja-JP" altLang="en-US" sz="900" kern="0" spc="0"/>
            <a:t>・タイムゾーンは時刻種別に示すが今の時点では</a:t>
          </a:r>
          <a:r>
            <a:rPr kumimoji="1" lang="en-US" altLang="ja-JP" sz="900" kern="0" spc="0"/>
            <a:t>Unix</a:t>
          </a:r>
          <a:r>
            <a:rPr kumimoji="1" lang="ja-JP" altLang="en-US" sz="900" kern="0" spc="0"/>
            <a:t>秒へ反映させない。</a:t>
          </a:r>
          <a:r>
            <a:rPr kumimoji="1" lang="en-US" altLang="ja-JP" sz="900" kern="0" spc="0"/>
            <a:t>InSAR</a:t>
          </a:r>
          <a:r>
            <a:rPr kumimoji="1" lang="ja-JP" altLang="en-US" sz="900" kern="0" spc="0"/>
            <a:t>は月スケールの時間解像度であり、また火山間では相対的な比較しかしないので当面困らない。</a:t>
          </a:r>
          <a:endParaRPr kumimoji="1" lang="en-US" altLang="ja-JP" sz="900" kern="0" spc="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kern="0" spc="0">
              <a:solidFill>
                <a:schemeClr val="dk1"/>
              </a:solidFill>
              <a:effectLst/>
              <a:latin typeface="+mn-lt"/>
              <a:ea typeface="+mn-ea"/>
              <a:cs typeface="+mn-cs"/>
            </a:rPr>
            <a:t>・幅のある記載は時刻幅欄を</a:t>
          </a:r>
          <a:r>
            <a:rPr kumimoji="1" lang="ja-JP" altLang="en-US" sz="900" kern="0" spc="0">
              <a:solidFill>
                <a:schemeClr val="dk1"/>
              </a:solidFill>
              <a:effectLst/>
              <a:latin typeface="+mn-lt"/>
              <a:ea typeface="+mn-ea"/>
              <a:cs typeface="+mn-cs"/>
            </a:rPr>
            <a:t>使う。</a:t>
          </a:r>
          <a:r>
            <a:rPr kumimoji="1" lang="en-US" altLang="ja-JP" sz="900" kern="0" spc="0">
              <a:solidFill>
                <a:schemeClr val="dk1"/>
              </a:solidFill>
              <a:effectLst/>
              <a:latin typeface="+mn-lt"/>
              <a:ea typeface="+mn-ea"/>
              <a:cs typeface="+mn-cs"/>
            </a:rPr>
            <a:t>pandas.to_timedelta()</a:t>
          </a:r>
          <a:r>
            <a:rPr kumimoji="1" lang="ja-JP" altLang="en-US" sz="900" kern="0" spc="0">
              <a:solidFill>
                <a:schemeClr val="dk1"/>
              </a:solidFill>
              <a:effectLst/>
              <a:latin typeface="+mn-lt"/>
              <a:ea typeface="+mn-ea"/>
              <a:cs typeface="+mn-cs"/>
            </a:rPr>
            <a:t>が読める表記。一文字目</a:t>
          </a:r>
          <a:r>
            <a:rPr kumimoji="1" lang="en-US" altLang="ja-JP" sz="900" kern="0" spc="0">
              <a:solidFill>
                <a:schemeClr val="dk1"/>
              </a:solidFill>
              <a:effectLst/>
              <a:latin typeface="+mn-lt"/>
              <a:ea typeface="+mn-ea"/>
              <a:cs typeface="+mn-cs"/>
            </a:rPr>
            <a:t>±</a:t>
          </a:r>
          <a:r>
            <a:rPr kumimoji="1" lang="ja-JP" altLang="en-US" sz="900" kern="0" spc="0">
              <a:solidFill>
                <a:schemeClr val="dk1"/>
              </a:solidFill>
              <a:effectLst/>
              <a:latin typeface="+mn-lt"/>
              <a:ea typeface="+mn-ea"/>
              <a:cs typeface="+mn-cs"/>
            </a:rPr>
            <a:t>で誤差。ひと月は</a:t>
          </a:r>
          <a:r>
            <a:rPr kumimoji="1" lang="en-US" altLang="ja-JP" sz="900" kern="0" spc="0">
              <a:solidFill>
                <a:schemeClr val="dk1"/>
              </a:solidFill>
              <a:effectLst/>
              <a:latin typeface="+mn-lt"/>
              <a:ea typeface="+mn-ea"/>
              <a:cs typeface="+mn-cs"/>
            </a:rPr>
            <a:t>30</a:t>
          </a:r>
          <a:r>
            <a:rPr kumimoji="1" lang="ja-JP" altLang="en-US" sz="900" kern="0" spc="0">
              <a:solidFill>
                <a:schemeClr val="dk1"/>
              </a:solidFill>
              <a:effectLst/>
              <a:latin typeface="+mn-lt"/>
              <a:ea typeface="+mn-ea"/>
              <a:cs typeface="+mn-cs"/>
            </a:rPr>
            <a:t>日で予め換算。</a:t>
          </a:r>
          <a:endParaRPr kumimoji="1" lang="en-US" altLang="ja-JP" sz="900" kern="0" spc="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kern="0" spc="0"/>
            <a:t>・発生日時が年だけしかわからないものは、</a:t>
          </a:r>
          <a:r>
            <a:rPr kumimoji="1" lang="en-US" altLang="ja-JP" sz="900" kern="0" spc="0"/>
            <a:t>Unix</a:t>
          </a:r>
          <a:r>
            <a:rPr kumimoji="1" lang="ja-JP" altLang="en-US" sz="900" kern="0" spc="0"/>
            <a:t>秒への変換過程で便宜上</a:t>
          </a:r>
          <a:r>
            <a:rPr kumimoji="1" lang="en-US" altLang="ja-JP" sz="900" kern="0" spc="0"/>
            <a:t>7/1</a:t>
          </a:r>
          <a:r>
            <a:rPr kumimoji="1" lang="ja-JP" altLang="en-US" sz="900" kern="0" spc="0"/>
            <a:t>において時刻幅に</a:t>
          </a:r>
          <a:r>
            <a:rPr kumimoji="1" lang="en-US" altLang="ja-JP" sz="900" kern="0" spc="0"/>
            <a:t>±6M</a:t>
          </a:r>
          <a:r>
            <a:rPr kumimoji="1" lang="ja-JP" altLang="en-US" sz="900" kern="0" spc="0"/>
            <a:t>をつける。同様に月しか分からないものは</a:t>
          </a:r>
          <a:r>
            <a:rPr kumimoji="1" lang="en-US" altLang="ja-JP" sz="900" kern="0" spc="0"/>
            <a:t>16</a:t>
          </a:r>
          <a:r>
            <a:rPr kumimoji="1" lang="ja-JP" altLang="en-US" sz="900" kern="0" spc="0"/>
            <a:t>日、日付は</a:t>
          </a:r>
          <a:r>
            <a:rPr kumimoji="1" lang="en-US" altLang="ja-JP" sz="900" kern="0" spc="0"/>
            <a:t>12:00</a:t>
          </a:r>
          <a:r>
            <a:rPr kumimoji="1" lang="ja-JP" altLang="en-US" sz="900" kern="0" spc="0"/>
            <a:t>し適宜時刻幅をつける。時刻・分は四捨五入していると考え変更しない。</a:t>
          </a:r>
          <a:r>
            <a:rPr kumimoji="1" lang="en-US" altLang="ja-JP" sz="900" kern="0" spc="0"/>
            <a:t>2</a:t>
          </a:r>
          <a:r>
            <a:rPr kumimoji="1" lang="ja-JP" altLang="en-US" sz="900" kern="0" spc="0"/>
            <a:t>月でも</a:t>
          </a:r>
          <a:r>
            <a:rPr kumimoji="1" lang="en-US" altLang="ja-JP" sz="900" kern="0" spc="0"/>
            <a:t>16</a:t>
          </a:r>
          <a:r>
            <a:rPr kumimoji="1" lang="ja-JP" altLang="en-US" sz="900" kern="0" spc="0"/>
            <a:t>日に丸めてあるので細かく見る際は注意。</a:t>
          </a:r>
          <a:endParaRPr kumimoji="1" lang="en-US" altLang="ja-JP" sz="900" kern="0" spc="0"/>
        </a:p>
        <a:p>
          <a:r>
            <a:rPr kumimoji="1" lang="ja-JP" altLang="en-US" sz="900" kern="0" spc="0"/>
            <a:t>・朝や夕方などの時刻表現、グラフの傾向から読み取った時間はそれらしい定時</a:t>
          </a:r>
          <a:r>
            <a:rPr kumimoji="1" lang="en-US" altLang="ja-JP" sz="900" kern="0" spc="0"/>
            <a:t>0</a:t>
          </a:r>
          <a:r>
            <a:rPr kumimoji="1" lang="ja-JP" altLang="en-US" sz="900" kern="0" spc="0"/>
            <a:t>分として入力し、観察に時刻不詳と明記。</a:t>
          </a:r>
          <a:endParaRPr kumimoji="1" lang="en-US" altLang="ja-JP" sz="900" kern="0" spc="0"/>
        </a:p>
        <a:p>
          <a:endParaRPr kumimoji="1" lang="en-US" altLang="ja-JP" sz="900" kern="0" spc="0"/>
        </a:p>
        <a:p>
          <a:r>
            <a:rPr kumimoji="1" lang="ja-JP" altLang="en-US" sz="900" b="1" kern="0" spc="0"/>
            <a:t>カラム「時系列原点」</a:t>
          </a:r>
          <a:r>
            <a:rPr kumimoji="1" lang="en-US" altLang="ja-JP" sz="900" b="1" kern="0" spc="0"/>
            <a:t>: </a:t>
          </a:r>
          <a:r>
            <a:rPr kumimoji="1" lang="ja-JP" altLang="en-US" sz="900" b="1" kern="0" spc="0"/>
            <a:t>　</a:t>
          </a:r>
          <a:endParaRPr kumimoji="1" lang="en-US" altLang="ja-JP" sz="900" b="1" kern="0" spc="0"/>
        </a:p>
        <a:p>
          <a:r>
            <a:rPr kumimoji="1" lang="ja-JP" altLang="en-US" sz="900" kern="0" spc="0"/>
            <a:t>噴火時系列図を</a:t>
          </a:r>
          <a:r>
            <a:rPr kumimoji="1" lang="en-US" altLang="ja-JP" sz="900" kern="0" spc="0"/>
            <a:t>Jupyter Notebook</a:t>
          </a:r>
          <a:r>
            <a:rPr kumimoji="1" lang="ja-JP" altLang="en-US" sz="900" kern="0" spc="0"/>
            <a:t>で描く時の</a:t>
          </a:r>
          <a:r>
            <a:rPr kumimoji="1" lang="en-US" altLang="ja-JP" sz="900" kern="0" spc="0"/>
            <a:t>X</a:t>
          </a:r>
          <a:r>
            <a:rPr kumimoji="1" lang="ja-JP" altLang="en-US" sz="900" kern="0" spc="0"/>
            <a:t>軸原点。</a:t>
          </a:r>
          <a:r>
            <a:rPr kumimoji="1" lang="en-US" altLang="ja-JP" sz="900" kern="0" spc="0"/>
            <a:t>start</a:t>
          </a:r>
          <a:r>
            <a:rPr kumimoji="1" lang="en-US" altLang="ja-JP" sz="900" kern="0" spc="0" baseline="0"/>
            <a:t> or climax, or end</a:t>
          </a:r>
        </a:p>
        <a:p>
          <a:r>
            <a:rPr kumimoji="1" lang="ja-JP" altLang="en-US" sz="900" kern="0" spc="0" baseline="0"/>
            <a:t>文献等をもとにしたデータベースの便宜上の認定</a:t>
          </a:r>
          <a:endParaRPr kumimoji="1" lang="en-US" altLang="ja-JP" sz="900" kern="0" spc="0" baseline="0"/>
        </a:p>
        <a:p>
          <a:r>
            <a:rPr kumimoji="1" lang="ja-JP" altLang="en-US" sz="900" kern="0" spc="0" baseline="0"/>
            <a:t>今のところ基本的に</a:t>
          </a:r>
          <a:r>
            <a:rPr kumimoji="1" lang="en-US" altLang="ja-JP" sz="900" kern="0" spc="0" baseline="0"/>
            <a:t>start</a:t>
          </a:r>
          <a:r>
            <a:rPr kumimoji="1" lang="ja-JP" altLang="en-US" sz="900" kern="0" spc="0" baseline="0"/>
            <a:t>を利用。なかったら</a:t>
          </a:r>
          <a:r>
            <a:rPr kumimoji="1" lang="en-US" altLang="ja-JP" sz="900" kern="0" spc="0" baseline="0"/>
            <a:t>climax</a:t>
          </a:r>
          <a:r>
            <a:rPr kumimoji="1" lang="ja-JP" altLang="en-US" sz="900" kern="0" spc="0" baseline="0"/>
            <a:t>を使用。</a:t>
          </a:r>
          <a:r>
            <a:rPr kumimoji="1" lang="en-US" altLang="ja-JP" sz="900" kern="0" spc="0" baseline="0"/>
            <a:t>end</a:t>
          </a:r>
          <a:r>
            <a:rPr kumimoji="1" lang="ja-JP" altLang="en-US" sz="900" kern="0" spc="0" baseline="0"/>
            <a:t>は将来使うかも</a:t>
          </a:r>
          <a:endParaRPr kumimoji="1" lang="en-US" altLang="ja-JP" sz="900" kern="0" spc="0" baseline="0"/>
        </a:p>
        <a:p>
          <a:r>
            <a:rPr kumimoji="1" lang="ja-JP" altLang="en-US" sz="900" kern="0" spc="0" baseline="0"/>
            <a:t>今のところ一つの火山に</a:t>
          </a:r>
          <a:r>
            <a:rPr kumimoji="1" lang="en-US" altLang="ja-JP" sz="900" kern="0" spc="0" baseline="0"/>
            <a:t>start, climax, end</a:t>
          </a:r>
          <a:r>
            <a:rPr kumimoji="1" lang="ja-JP" altLang="en-US" sz="900" kern="0" spc="0" baseline="0"/>
            <a:t>は一つずつだけ。</a:t>
          </a:r>
          <a:endParaRPr kumimoji="1" lang="en-US" altLang="ja-JP" sz="900" kern="0" spc="0" baseline="0"/>
        </a:p>
        <a:p>
          <a:endParaRPr kumimoji="1" lang="en-US" altLang="ja-JP" sz="900" kern="0" spc="0" baseline="0"/>
        </a:p>
        <a:p>
          <a:r>
            <a:rPr kumimoji="1" lang="ja-JP" altLang="en-US" sz="900" kern="0" spc="0" baseline="0"/>
            <a:t>スプレッドシートのソート禁止。</a:t>
          </a:r>
          <a:endParaRPr kumimoji="1" lang="en-US" altLang="ja-JP" sz="900" kern="0" spc="0" baseline="0"/>
        </a:p>
        <a:p>
          <a:r>
            <a:rPr kumimoji="1" lang="ja-JP" altLang="en-US" sz="900" kern="0" spc="0"/>
            <a:t>ピーク噴火開始までの時間カラムは</a:t>
          </a:r>
          <a:r>
            <a:rPr kumimoji="1" lang="en-US" altLang="ja-JP" sz="900" kern="0" spc="0"/>
            <a:t>Excel</a:t>
          </a:r>
          <a:r>
            <a:rPr kumimoji="1" lang="ja-JP" altLang="en-US" sz="900" kern="0" spc="0"/>
            <a:t>で計算する際に手動で原点を指定しているため、</a:t>
          </a:r>
          <a:r>
            <a:rPr kumimoji="1" lang="en-US" altLang="ja-JP" sz="900" kern="0" spc="0"/>
            <a:t>Excel</a:t>
          </a:r>
          <a:r>
            <a:rPr kumimoji="1" lang="ja-JP" altLang="en-US" sz="900" kern="0" spc="0"/>
            <a:t>のグラフは壊れる。</a:t>
          </a:r>
          <a:endParaRPr kumimoji="1" lang="en-US" altLang="ja-JP" sz="900" kern="0" spc="0"/>
        </a:p>
        <a:p>
          <a:r>
            <a:rPr kumimoji="1" lang="en-US" altLang="ja-JP" sz="900" kern="0" spc="0"/>
            <a:t>Jupyter notebook</a:t>
          </a:r>
          <a:r>
            <a:rPr kumimoji="1" lang="ja-JP" altLang="en-US" sz="900" kern="0" spc="0"/>
            <a:t>では時系列原点カラムから再計算しているため影響なし。</a:t>
          </a:r>
          <a:endParaRPr kumimoji="1" lang="en-US" altLang="ja-JP" sz="900" kern="0" spc="0"/>
        </a:p>
        <a:p>
          <a:endParaRPr kumimoji="1" lang="en-US" altLang="ja-JP" sz="900" kern="0" spc="0"/>
        </a:p>
      </xdr:txBody>
    </xdr:sp>
    <xdr:clientData/>
  </xdr:twoCellAnchor>
  <xdr:twoCellAnchor>
    <xdr:from>
      <xdr:col>2</xdr:col>
      <xdr:colOff>135256</xdr:colOff>
      <xdr:row>9</xdr:row>
      <xdr:rowOff>95250</xdr:rowOff>
    </xdr:from>
    <xdr:to>
      <xdr:col>16</xdr:col>
      <xdr:colOff>1015366</xdr:colOff>
      <xdr:row>18</xdr:row>
      <xdr:rowOff>133350</xdr:rowOff>
    </xdr:to>
    <xdr:graphicFrame macro="">
      <xdr:nvGraphicFramePr>
        <xdr:cNvPr id="6" name="グラフ 5">
          <a:extLst>
            <a:ext uri="{FF2B5EF4-FFF2-40B4-BE49-F238E27FC236}">
              <a16:creationId xmlns:a16="http://schemas.microsoft.com/office/drawing/2014/main" id="{251E52A2-9D51-4750-A763-4BFD6AEB73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114300</xdr:colOff>
      <xdr:row>18</xdr:row>
      <xdr:rowOff>171450</xdr:rowOff>
    </xdr:from>
    <xdr:to>
      <xdr:col>16</xdr:col>
      <xdr:colOff>1000125</xdr:colOff>
      <xdr:row>28</xdr:row>
      <xdr:rowOff>209550</xdr:rowOff>
    </xdr:to>
    <xdr:graphicFrame macro="">
      <xdr:nvGraphicFramePr>
        <xdr:cNvPr id="7" name="グラフ 6">
          <a:extLst>
            <a:ext uri="{FF2B5EF4-FFF2-40B4-BE49-F238E27FC236}">
              <a16:creationId xmlns:a16="http://schemas.microsoft.com/office/drawing/2014/main" id="{559D6068-2F27-41A2-8683-2A682CE8A1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295275</xdr:colOff>
      <xdr:row>1</xdr:row>
      <xdr:rowOff>161925</xdr:rowOff>
    </xdr:from>
    <xdr:to>
      <xdr:col>18</xdr:col>
      <xdr:colOff>552450</xdr:colOff>
      <xdr:row>5</xdr:row>
      <xdr:rowOff>66675</xdr:rowOff>
    </xdr:to>
    <xdr:sp macro="" textlink="">
      <xdr:nvSpPr>
        <xdr:cNvPr id="2" name="テキスト ボックス 1">
          <a:extLst>
            <a:ext uri="{FF2B5EF4-FFF2-40B4-BE49-F238E27FC236}">
              <a16:creationId xmlns:a16="http://schemas.microsoft.com/office/drawing/2014/main" id="{3EB39A1C-C093-4EF9-B43F-8F98917D4191}"/>
            </a:ext>
          </a:extLst>
        </xdr:cNvPr>
        <xdr:cNvSpPr txBox="1"/>
      </xdr:nvSpPr>
      <xdr:spPr>
        <a:xfrm>
          <a:off x="11439525" y="409575"/>
          <a:ext cx="425767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スミソニアン</a:t>
          </a:r>
          <a:r>
            <a:rPr kumimoji="1" lang="en-US" altLang="ja-JP" sz="1100"/>
            <a:t>GVP</a:t>
          </a:r>
          <a:r>
            <a:rPr kumimoji="1" lang="ja-JP" altLang="en-US" sz="1100"/>
            <a:t>で</a:t>
          </a:r>
          <a:r>
            <a:rPr kumimoji="1" lang="en-US" altLang="ja-JP" sz="1100"/>
            <a:t>VEI4</a:t>
          </a:r>
          <a:r>
            <a:rPr kumimoji="1" lang="ja-JP" altLang="en-US" sz="1100"/>
            <a:t>以上とされている</a:t>
          </a:r>
          <a:r>
            <a:rPr kumimoji="1" lang="en-US" altLang="ja-JP" sz="1100"/>
            <a:t>1700</a:t>
          </a:r>
          <a:r>
            <a:rPr kumimoji="1" lang="ja-JP" altLang="en-US" sz="1100"/>
            <a:t>年以降の噴火を、</a:t>
          </a:r>
          <a:endParaRPr kumimoji="1" lang="en-US" altLang="ja-JP" sz="1100"/>
        </a:p>
        <a:p>
          <a:r>
            <a:rPr lang="ja-JP" altLang="en-US"/>
            <a:t>プリニー式噴火であるかどうか</a:t>
          </a:r>
          <a:r>
            <a:rPr kumimoji="1" lang="ja-JP" altLang="en-US" sz="1100"/>
            <a:t>振り分け</a:t>
          </a:r>
          <a:endParaRPr kumimoji="0" lang="en-US" altLang="ja-JP" sz="1100" b="0" i="0" u="none" strike="noStrike">
            <a:solidFill>
              <a:schemeClr val="dk1"/>
            </a:solidFill>
            <a:effectLst/>
            <a:latin typeface="+mn-lt"/>
            <a:ea typeface="+mn-ea"/>
            <a:cs typeface="+mn-cs"/>
          </a:endParaRPr>
        </a:p>
        <a:p>
          <a:r>
            <a:rPr kumimoji="0" lang="ja-JP" altLang="en-US" sz="1100" b="0" i="0" u="none" strike="noStrike">
              <a:solidFill>
                <a:schemeClr val="dk1"/>
              </a:solidFill>
              <a:effectLst/>
              <a:latin typeface="+mn-lt"/>
              <a:ea typeface="+mn-ea"/>
              <a:cs typeface="+mn-cs"/>
            </a:rPr>
            <a:t>噴火番号なし、</a:t>
          </a:r>
          <a:r>
            <a:rPr kumimoji="0" lang="en-US" altLang="ja-JP" sz="1100" b="0" i="0" u="none" strike="noStrike">
              <a:solidFill>
                <a:schemeClr val="dk1"/>
              </a:solidFill>
              <a:effectLst/>
              <a:latin typeface="+mn-lt"/>
              <a:ea typeface="+mn-ea"/>
              <a:cs typeface="+mn-cs"/>
            </a:rPr>
            <a:t>VEI3</a:t>
          </a:r>
          <a:r>
            <a:rPr kumimoji="0" lang="ja-JP" altLang="en-US" sz="1100" b="0" i="0" u="none" strike="noStrike">
              <a:solidFill>
                <a:schemeClr val="dk1"/>
              </a:solidFill>
              <a:effectLst/>
              <a:latin typeface="+mn-lt"/>
              <a:ea typeface="+mn-ea"/>
              <a:cs typeface="+mn-cs"/>
            </a:rPr>
            <a:t>以下は手動追加したもの</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639127</xdr:colOff>
      <xdr:row>13</xdr:row>
      <xdr:rowOff>224790</xdr:rowOff>
    </xdr:from>
    <xdr:to>
      <xdr:col>16</xdr:col>
      <xdr:colOff>549592</xdr:colOff>
      <xdr:row>25</xdr:row>
      <xdr:rowOff>224790</xdr:rowOff>
    </xdr:to>
    <xdr:graphicFrame macro="">
      <xdr:nvGraphicFramePr>
        <xdr:cNvPr id="3" name="グラフ 2">
          <a:extLst>
            <a:ext uri="{FF2B5EF4-FFF2-40B4-BE49-F238E27FC236}">
              <a16:creationId xmlns:a16="http://schemas.microsoft.com/office/drawing/2014/main" id="{7C55429A-06FB-4D33-8537-0D94499147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82E76-FE86-4F09-B9C8-4D4A46F8708C}">
  <dimension ref="A1:AS54"/>
  <sheetViews>
    <sheetView tabSelected="1" zoomScale="80" zoomScaleNormal="80" workbookViewId="0">
      <pane xSplit="1" topLeftCell="B1" activePane="topRight" state="frozen"/>
      <selection pane="topRight" activeCell="AI31" sqref="AI31"/>
    </sheetView>
  </sheetViews>
  <sheetFormatPr defaultRowHeight="18.75" x14ac:dyDescent="0.4"/>
  <cols>
    <col min="1" max="1" width="15.625" style="38" customWidth="1"/>
    <col min="3" max="3" width="17.375" customWidth="1"/>
    <col min="4" max="4" width="11.625" customWidth="1"/>
    <col min="5" max="5" width="10.875" customWidth="1"/>
    <col min="6" max="6" width="11.25" customWidth="1"/>
    <col min="7" max="7" width="9.125" customWidth="1"/>
    <col min="8" max="8" width="12.125" customWidth="1"/>
    <col min="9" max="9" width="9" customWidth="1"/>
    <col min="10" max="11" width="10.25" customWidth="1"/>
    <col min="12" max="12" width="4.5" customWidth="1"/>
    <col min="13" max="13" width="17.375" customWidth="1"/>
    <col min="14" max="14" width="11.75" customWidth="1"/>
    <col min="15" max="19" width="7.25" customWidth="1"/>
    <col min="20" max="20" width="11.75" customWidth="1"/>
    <col min="25" max="25" width="10.25" customWidth="1"/>
    <col min="26" max="26" width="9.25" customWidth="1"/>
    <col min="27" max="29" width="9" customWidth="1"/>
    <col min="30" max="30" width="11" customWidth="1"/>
    <col min="31" max="31" width="12.25" customWidth="1"/>
    <col min="32" max="32" width="10.25" bestFit="1" customWidth="1"/>
    <col min="33" max="40" width="10.25" customWidth="1"/>
    <col min="41" max="41" width="10.25" bestFit="1" customWidth="1"/>
  </cols>
  <sheetData>
    <row r="1" spans="1:45" s="31" customFormat="1" ht="18" x14ac:dyDescent="0.4">
      <c r="A1" s="37" t="s">
        <v>1431</v>
      </c>
      <c r="B1" s="31" t="s">
        <v>1111</v>
      </c>
      <c r="C1" s="31" t="s">
        <v>1308</v>
      </c>
      <c r="D1" s="31" t="s">
        <v>1309</v>
      </c>
      <c r="E1" s="31" t="s">
        <v>1102</v>
      </c>
      <c r="F1" s="31" t="s">
        <v>1519</v>
      </c>
      <c r="G1" s="31" t="s">
        <v>1441</v>
      </c>
      <c r="H1" s="31" t="s">
        <v>1442</v>
      </c>
      <c r="I1" s="31" t="s">
        <v>1435</v>
      </c>
      <c r="J1" s="31" t="s">
        <v>1436</v>
      </c>
      <c r="K1" s="31" t="s">
        <v>1321</v>
      </c>
      <c r="L1" s="31" t="s">
        <v>1077</v>
      </c>
      <c r="M1" s="31" t="s">
        <v>1168</v>
      </c>
      <c r="N1" s="31" t="s">
        <v>1443</v>
      </c>
      <c r="O1" s="31" t="s">
        <v>1447</v>
      </c>
      <c r="P1" s="31" t="s">
        <v>1458</v>
      </c>
      <c r="Q1" s="31" t="s">
        <v>1459</v>
      </c>
      <c r="R1" s="31" t="s">
        <v>1460</v>
      </c>
      <c r="S1" s="31" t="s">
        <v>1461</v>
      </c>
      <c r="T1" s="31" t="s">
        <v>1310</v>
      </c>
      <c r="U1" s="31" t="s">
        <v>1136</v>
      </c>
      <c r="V1" s="31" t="s">
        <v>1169</v>
      </c>
      <c r="W1" s="31" t="s">
        <v>1135</v>
      </c>
      <c r="X1" s="31" t="s">
        <v>1134</v>
      </c>
      <c r="Y1" s="33" t="s">
        <v>1137</v>
      </c>
      <c r="Z1" s="33" t="s">
        <v>1138</v>
      </c>
      <c r="AA1" s="33" t="s">
        <v>1139</v>
      </c>
      <c r="AB1" s="33" t="s">
        <v>1140</v>
      </c>
      <c r="AC1" s="33" t="s">
        <v>1141</v>
      </c>
      <c r="AD1" s="31" t="s">
        <v>1145</v>
      </c>
      <c r="AE1" s="31" t="s">
        <v>1142</v>
      </c>
      <c r="AF1" s="31" t="s">
        <v>1143</v>
      </c>
      <c r="AG1" s="31" t="s">
        <v>1617</v>
      </c>
      <c r="AH1" s="31" t="s">
        <v>1479</v>
      </c>
      <c r="AI1" s="31" t="s">
        <v>1480</v>
      </c>
      <c r="AJ1" s="31" t="s">
        <v>1481</v>
      </c>
      <c r="AK1" s="31" t="s">
        <v>1448</v>
      </c>
      <c r="AL1" s="31" t="s">
        <v>1437</v>
      </c>
      <c r="AM1" s="31" t="s">
        <v>1438</v>
      </c>
      <c r="AN1" s="31" t="s">
        <v>1439</v>
      </c>
      <c r="AO1" s="31" t="s">
        <v>1312</v>
      </c>
      <c r="AP1" s="32" t="s">
        <v>1314</v>
      </c>
      <c r="AQ1" s="32" t="s">
        <v>1316</v>
      </c>
      <c r="AR1" s="31" t="s">
        <v>1318</v>
      </c>
    </row>
    <row r="2" spans="1:45" x14ac:dyDescent="0.4">
      <c r="A2" s="38" t="s">
        <v>1410</v>
      </c>
      <c r="B2">
        <v>21076</v>
      </c>
      <c r="C2" t="s">
        <v>1107</v>
      </c>
      <c r="D2" t="s">
        <v>12</v>
      </c>
      <c r="F2" t="s">
        <v>1520</v>
      </c>
      <c r="G2" t="s">
        <v>1153</v>
      </c>
      <c r="H2" t="s">
        <v>1307</v>
      </c>
      <c r="I2">
        <v>-41.3</v>
      </c>
      <c r="J2">
        <v>-72.599999999999994</v>
      </c>
      <c r="K2" s="9">
        <v>42116</v>
      </c>
      <c r="L2">
        <v>4</v>
      </c>
      <c r="M2" t="s">
        <v>1305</v>
      </c>
      <c r="N2" t="s">
        <v>1306</v>
      </c>
      <c r="P2" t="s">
        <v>1462</v>
      </c>
      <c r="Q2" t="s">
        <v>1462</v>
      </c>
      <c r="T2" t="s">
        <v>1311</v>
      </c>
      <c r="U2">
        <v>2019</v>
      </c>
      <c r="V2" t="s">
        <v>1170</v>
      </c>
      <c r="W2" t="s">
        <v>1078</v>
      </c>
      <c r="X2" t="s">
        <v>1241</v>
      </c>
      <c r="Y2" s="20">
        <v>5</v>
      </c>
      <c r="Z2" s="20">
        <v>2</v>
      </c>
      <c r="AA2" s="20">
        <v>2</v>
      </c>
      <c r="AB2">
        <v>6</v>
      </c>
      <c r="AC2" s="20" t="s">
        <v>1147</v>
      </c>
      <c r="AD2">
        <v>6</v>
      </c>
      <c r="AE2" t="s">
        <v>1084</v>
      </c>
      <c r="AH2" t="s">
        <v>1486</v>
      </c>
      <c r="AO2" s="35" t="s">
        <v>1313</v>
      </c>
      <c r="AP2" s="34" t="s">
        <v>1315</v>
      </c>
      <c r="AQ2" s="34" t="s">
        <v>1317</v>
      </c>
      <c r="AR2" s="35" t="s">
        <v>1319</v>
      </c>
      <c r="AS2" s="35"/>
    </row>
    <row r="3" spans="1:45" x14ac:dyDescent="0.4">
      <c r="A3" s="38" t="s">
        <v>1411</v>
      </c>
      <c r="B3">
        <v>20934</v>
      </c>
      <c r="C3" t="s">
        <v>1108</v>
      </c>
      <c r="D3" t="s">
        <v>1094</v>
      </c>
      <c r="E3" t="s">
        <v>13</v>
      </c>
      <c r="F3" t="s">
        <v>1520</v>
      </c>
      <c r="G3" t="s">
        <v>1154</v>
      </c>
      <c r="H3" t="s">
        <v>1444</v>
      </c>
      <c r="I3">
        <v>-7.95</v>
      </c>
      <c r="J3">
        <v>112.3</v>
      </c>
      <c r="K3">
        <v>2014</v>
      </c>
      <c r="L3">
        <v>4</v>
      </c>
      <c r="M3" t="s">
        <v>1394</v>
      </c>
      <c r="N3" t="s">
        <v>1342</v>
      </c>
      <c r="P3" t="s">
        <v>1462</v>
      </c>
      <c r="Q3" t="s">
        <v>1462</v>
      </c>
      <c r="T3" t="s">
        <v>1395</v>
      </c>
      <c r="U3">
        <v>2020</v>
      </c>
      <c r="V3" t="s">
        <v>1238</v>
      </c>
      <c r="W3" t="s">
        <v>1080</v>
      </c>
      <c r="X3" t="s">
        <v>1243</v>
      </c>
      <c r="Y3" s="20"/>
      <c r="Z3" s="20"/>
      <c r="AA3" s="20"/>
      <c r="AB3" t="s">
        <v>1144</v>
      </c>
      <c r="AC3" s="20" t="s">
        <v>1147</v>
      </c>
      <c r="AE3" t="s">
        <v>1084</v>
      </c>
      <c r="AH3" t="s">
        <v>1488</v>
      </c>
      <c r="AO3" s="35" t="s">
        <v>1396</v>
      </c>
      <c r="AP3" s="34" t="s">
        <v>1397</v>
      </c>
      <c r="AQ3" s="34" t="s">
        <v>1434</v>
      </c>
      <c r="AR3" s="35" t="s">
        <v>1398</v>
      </c>
      <c r="AS3" s="35"/>
    </row>
    <row r="4" spans="1:45" x14ac:dyDescent="0.4">
      <c r="A4" s="38" t="s">
        <v>1419</v>
      </c>
      <c r="B4">
        <v>20809</v>
      </c>
      <c r="C4" t="s">
        <v>1109</v>
      </c>
      <c r="D4" t="s">
        <v>1095</v>
      </c>
      <c r="E4" t="s">
        <v>1103</v>
      </c>
      <c r="F4" t="s">
        <v>1520</v>
      </c>
      <c r="G4" t="s">
        <v>1153</v>
      </c>
      <c r="H4" t="s">
        <v>1307</v>
      </c>
      <c r="I4">
        <v>-40.549999999999997</v>
      </c>
      <c r="J4">
        <v>-72.150000000000006</v>
      </c>
      <c r="K4" s="9">
        <v>40698</v>
      </c>
      <c r="L4">
        <v>5</v>
      </c>
      <c r="M4" t="s">
        <v>1328</v>
      </c>
      <c r="N4" t="s">
        <v>1322</v>
      </c>
      <c r="P4" t="s">
        <v>1462</v>
      </c>
      <c r="Q4" t="s">
        <v>1462</v>
      </c>
      <c r="R4" t="s">
        <v>1465</v>
      </c>
      <c r="T4" t="s">
        <v>1323</v>
      </c>
      <c r="U4">
        <v>2019</v>
      </c>
      <c r="V4" t="s">
        <v>1171</v>
      </c>
      <c r="W4" t="s">
        <v>1080</v>
      </c>
      <c r="X4" t="s">
        <v>1243</v>
      </c>
      <c r="Y4" s="20">
        <v>5</v>
      </c>
      <c r="Z4" s="20">
        <v>1</v>
      </c>
      <c r="AA4" s="20">
        <v>2</v>
      </c>
      <c r="AB4">
        <v>5</v>
      </c>
      <c r="AC4" t="s">
        <v>1148</v>
      </c>
      <c r="AD4">
        <v>5</v>
      </c>
      <c r="AE4" t="s">
        <v>1084</v>
      </c>
      <c r="AF4" t="s">
        <v>1079</v>
      </c>
      <c r="AH4" t="s">
        <v>1489</v>
      </c>
      <c r="AL4" t="s">
        <v>1494</v>
      </c>
      <c r="AM4" t="s">
        <v>1496</v>
      </c>
      <c r="AN4" t="s">
        <v>1499</v>
      </c>
      <c r="AO4" s="35" t="s">
        <v>1324</v>
      </c>
      <c r="AP4" s="34" t="s">
        <v>1325</v>
      </c>
      <c r="AQ4" s="34" t="s">
        <v>1326</v>
      </c>
      <c r="AR4" s="35" t="s">
        <v>1327</v>
      </c>
      <c r="AS4" s="35"/>
    </row>
    <row r="5" spans="1:45" x14ac:dyDescent="0.4">
      <c r="A5" s="38" t="s">
        <v>1420</v>
      </c>
      <c r="B5">
        <v>20767</v>
      </c>
      <c r="C5" t="s">
        <v>1110</v>
      </c>
      <c r="D5" t="s">
        <v>1152</v>
      </c>
      <c r="E5" t="s">
        <v>24</v>
      </c>
      <c r="F5" t="s">
        <v>1520</v>
      </c>
      <c r="G5" t="s">
        <v>1155</v>
      </c>
      <c r="H5" t="s">
        <v>1445</v>
      </c>
      <c r="I5">
        <v>64.400000000000006</v>
      </c>
      <c r="J5">
        <v>-17.3</v>
      </c>
      <c r="K5">
        <v>2011</v>
      </c>
      <c r="L5">
        <v>4</v>
      </c>
      <c r="M5" t="s">
        <v>1338</v>
      </c>
      <c r="N5" t="s">
        <v>1339</v>
      </c>
      <c r="P5" t="s">
        <v>1462</v>
      </c>
      <c r="T5" t="s">
        <v>1340</v>
      </c>
      <c r="U5">
        <v>2019</v>
      </c>
      <c r="V5" t="s">
        <v>1172</v>
      </c>
      <c r="W5" t="s">
        <v>1080</v>
      </c>
      <c r="X5" t="s">
        <v>1243</v>
      </c>
      <c r="Y5" s="20">
        <v>5</v>
      </c>
      <c r="Z5" s="20">
        <v>4</v>
      </c>
      <c r="AA5" s="20">
        <v>6</v>
      </c>
      <c r="AB5" t="s">
        <v>1144</v>
      </c>
      <c r="AC5" t="s">
        <v>1148</v>
      </c>
      <c r="AD5">
        <v>6</v>
      </c>
      <c r="AE5" t="s">
        <v>1084</v>
      </c>
      <c r="AO5" s="35" t="s">
        <v>1329</v>
      </c>
      <c r="AP5" s="36" t="s">
        <v>1330</v>
      </c>
      <c r="AQ5" s="34" t="s">
        <v>1331</v>
      </c>
      <c r="AR5" s="35" t="s">
        <v>1457</v>
      </c>
      <c r="AS5" s="35"/>
    </row>
    <row r="6" spans="1:45" x14ac:dyDescent="0.4">
      <c r="A6" s="38" t="s">
        <v>1421</v>
      </c>
      <c r="B6">
        <v>12271</v>
      </c>
      <c r="C6" t="s">
        <v>1112</v>
      </c>
      <c r="D6" t="s">
        <v>36</v>
      </c>
      <c r="F6" t="s">
        <v>1520</v>
      </c>
      <c r="G6" t="s">
        <v>1153</v>
      </c>
      <c r="H6" t="s">
        <v>1307</v>
      </c>
      <c r="I6">
        <v>-42.85</v>
      </c>
      <c r="J6">
        <v>-72.650000000000006</v>
      </c>
      <c r="K6" s="9">
        <v>39569</v>
      </c>
      <c r="L6">
        <v>4</v>
      </c>
      <c r="M6" t="s">
        <v>1399</v>
      </c>
      <c r="N6" t="s">
        <v>1354</v>
      </c>
      <c r="P6" t="s">
        <v>1462</v>
      </c>
      <c r="Q6" t="s">
        <v>1462</v>
      </c>
      <c r="R6" t="s">
        <v>1466</v>
      </c>
      <c r="T6" t="s">
        <v>1400</v>
      </c>
      <c r="U6">
        <v>2020</v>
      </c>
      <c r="V6" t="s">
        <v>1170</v>
      </c>
      <c r="W6" t="s">
        <v>1078</v>
      </c>
      <c r="X6" t="s">
        <v>1244</v>
      </c>
      <c r="Y6" s="20"/>
      <c r="Z6" s="20"/>
      <c r="AA6" s="20"/>
      <c r="AB6" s="20"/>
      <c r="AC6" s="20" t="s">
        <v>1148</v>
      </c>
      <c r="AE6" t="s">
        <v>1084</v>
      </c>
      <c r="AF6" t="s">
        <v>1079</v>
      </c>
      <c r="AH6" t="s">
        <v>1487</v>
      </c>
      <c r="AO6" s="35" t="s">
        <v>1401</v>
      </c>
      <c r="AP6" s="34" t="s">
        <v>1402</v>
      </c>
      <c r="AQ6" s="34" t="s">
        <v>1403</v>
      </c>
      <c r="AR6" s="35" t="s">
        <v>1404</v>
      </c>
      <c r="AS6" s="35"/>
    </row>
    <row r="7" spans="1:45" x14ac:dyDescent="0.4">
      <c r="A7" s="38" t="s">
        <v>1412</v>
      </c>
      <c r="B7">
        <v>16867</v>
      </c>
      <c r="C7" t="s">
        <v>1113</v>
      </c>
      <c r="D7" t="s">
        <v>61</v>
      </c>
      <c r="F7" t="s">
        <v>1520</v>
      </c>
      <c r="G7" t="s">
        <v>1156</v>
      </c>
      <c r="H7" t="s">
        <v>1150</v>
      </c>
      <c r="I7">
        <v>15.15</v>
      </c>
      <c r="J7">
        <v>120.3</v>
      </c>
      <c r="K7">
        <v>1991</v>
      </c>
      <c r="L7">
        <v>6</v>
      </c>
      <c r="M7" t="s">
        <v>1335</v>
      </c>
      <c r="N7" t="s">
        <v>1336</v>
      </c>
      <c r="P7" t="s">
        <v>1462</v>
      </c>
      <c r="Q7" t="s">
        <v>1462</v>
      </c>
      <c r="R7" t="s">
        <v>1467</v>
      </c>
      <c r="T7" t="s">
        <v>1337</v>
      </c>
      <c r="U7">
        <v>2019</v>
      </c>
      <c r="V7" t="s">
        <v>1173</v>
      </c>
      <c r="W7" t="s">
        <v>1080</v>
      </c>
      <c r="X7" t="s">
        <v>1243</v>
      </c>
      <c r="Y7" s="20" t="s">
        <v>1086</v>
      </c>
      <c r="Z7" s="20">
        <v>2</v>
      </c>
      <c r="AA7" s="20">
        <v>4</v>
      </c>
      <c r="AB7" s="20">
        <v>6</v>
      </c>
      <c r="AC7" t="s">
        <v>1146</v>
      </c>
      <c r="AD7">
        <v>7</v>
      </c>
      <c r="AE7" t="s">
        <v>1087</v>
      </c>
      <c r="AF7" t="s">
        <v>1079</v>
      </c>
      <c r="AH7" t="s">
        <v>1491</v>
      </c>
      <c r="AI7" t="s">
        <v>1490</v>
      </c>
      <c r="AK7" s="22" t="s">
        <v>1449</v>
      </c>
      <c r="AL7" t="s">
        <v>1495</v>
      </c>
      <c r="AO7" s="35" t="s">
        <v>1332</v>
      </c>
      <c r="AP7" s="34" t="s">
        <v>1333</v>
      </c>
      <c r="AQ7" s="34" t="s">
        <v>1334</v>
      </c>
      <c r="AR7" s="35" t="s">
        <v>1456</v>
      </c>
      <c r="AS7" s="35"/>
    </row>
    <row r="8" spans="1:45" x14ac:dyDescent="0.4">
      <c r="A8" s="38" t="s">
        <v>1424</v>
      </c>
      <c r="B8">
        <v>10610</v>
      </c>
      <c r="C8" t="s">
        <v>1114</v>
      </c>
      <c r="D8" t="s">
        <v>1096</v>
      </c>
      <c r="F8" t="s">
        <v>1520</v>
      </c>
      <c r="G8" t="s">
        <v>1157</v>
      </c>
      <c r="H8" t="s">
        <v>1593</v>
      </c>
      <c r="I8">
        <v>17.350000000000001</v>
      </c>
      <c r="J8">
        <v>-93.2</v>
      </c>
      <c r="K8">
        <v>1982</v>
      </c>
      <c r="L8">
        <v>5</v>
      </c>
      <c r="M8" t="s">
        <v>1588</v>
      </c>
      <c r="N8" t="s">
        <v>1589</v>
      </c>
      <c r="P8" t="s">
        <v>1462</v>
      </c>
      <c r="Q8" t="s">
        <v>1462</v>
      </c>
      <c r="T8" t="s">
        <v>1591</v>
      </c>
      <c r="U8">
        <v>2020</v>
      </c>
      <c r="V8" t="s">
        <v>1170</v>
      </c>
      <c r="W8" t="s">
        <v>1078</v>
      </c>
      <c r="X8" t="s">
        <v>1241</v>
      </c>
      <c r="Y8" s="20"/>
      <c r="Z8" s="20"/>
      <c r="AA8" s="20"/>
      <c r="AB8" s="20"/>
      <c r="AC8" s="20"/>
      <c r="AO8" s="35" t="s">
        <v>1579</v>
      </c>
      <c r="AP8" s="34" t="s">
        <v>1580</v>
      </c>
      <c r="AQ8" s="34" t="s">
        <v>1581</v>
      </c>
      <c r="AR8" s="35" t="s">
        <v>1582</v>
      </c>
      <c r="AS8" s="35"/>
    </row>
    <row r="9" spans="1:45" x14ac:dyDescent="0.4">
      <c r="A9" s="38" t="s">
        <v>1413</v>
      </c>
      <c r="C9" t="s">
        <v>1115</v>
      </c>
      <c r="D9" t="s">
        <v>1100</v>
      </c>
      <c r="E9" t="s">
        <v>1104</v>
      </c>
      <c r="F9" t="s">
        <v>1520</v>
      </c>
      <c r="G9" t="s">
        <v>1158</v>
      </c>
      <c r="H9" t="s">
        <v>1130</v>
      </c>
      <c r="I9">
        <v>42.55</v>
      </c>
      <c r="J9">
        <v>140.85</v>
      </c>
      <c r="K9">
        <v>1977</v>
      </c>
      <c r="L9">
        <v>3</v>
      </c>
      <c r="M9" t="s">
        <v>1587</v>
      </c>
      <c r="N9" t="s">
        <v>1354</v>
      </c>
      <c r="P9" t="s">
        <v>1462</v>
      </c>
      <c r="S9" t="s">
        <v>1590</v>
      </c>
      <c r="T9" t="s">
        <v>1592</v>
      </c>
      <c r="U9">
        <v>2020</v>
      </c>
      <c r="V9" t="s">
        <v>1170</v>
      </c>
      <c r="W9" t="s">
        <v>1078</v>
      </c>
      <c r="X9" t="s">
        <v>1244</v>
      </c>
      <c r="Y9" s="20"/>
      <c r="Z9" s="20"/>
      <c r="AA9" s="20"/>
      <c r="AB9" s="20">
        <v>5</v>
      </c>
      <c r="AC9" s="20" t="s">
        <v>1147</v>
      </c>
      <c r="AD9">
        <v>5</v>
      </c>
      <c r="AE9" t="s">
        <v>1084</v>
      </c>
      <c r="AF9" t="s">
        <v>1079</v>
      </c>
      <c r="AO9" s="35" t="s">
        <v>1583</v>
      </c>
      <c r="AP9" s="34" t="s">
        <v>1584</v>
      </c>
      <c r="AQ9" s="34" t="s">
        <v>1585</v>
      </c>
      <c r="AR9" s="35" t="s">
        <v>1586</v>
      </c>
      <c r="AS9" s="35"/>
    </row>
    <row r="10" spans="1:45" x14ac:dyDescent="0.4">
      <c r="A10" s="38" t="s">
        <v>1426</v>
      </c>
      <c r="B10">
        <v>20272</v>
      </c>
      <c r="C10" t="s">
        <v>1116</v>
      </c>
      <c r="D10" t="s">
        <v>68</v>
      </c>
      <c r="F10" t="s">
        <v>1520</v>
      </c>
      <c r="G10" t="s">
        <v>1159</v>
      </c>
      <c r="H10" t="s">
        <v>1132</v>
      </c>
      <c r="I10">
        <v>59.35</v>
      </c>
      <c r="J10">
        <v>-153.44999999999999</v>
      </c>
      <c r="K10" s="9">
        <v>27781</v>
      </c>
      <c r="L10">
        <v>4</v>
      </c>
      <c r="M10" t="s">
        <v>1341</v>
      </c>
      <c r="N10" t="s">
        <v>1342</v>
      </c>
      <c r="P10" t="s">
        <v>1462</v>
      </c>
      <c r="Q10" t="s">
        <v>1462</v>
      </c>
      <c r="R10" t="s">
        <v>1466</v>
      </c>
      <c r="T10" t="s">
        <v>1345</v>
      </c>
      <c r="U10">
        <v>2019</v>
      </c>
      <c r="V10" t="s">
        <v>1272</v>
      </c>
      <c r="W10" t="s">
        <v>1078</v>
      </c>
      <c r="X10" t="s">
        <v>1243</v>
      </c>
      <c r="Y10" s="20" t="s">
        <v>1082</v>
      </c>
      <c r="Z10" s="20" t="s">
        <v>1085</v>
      </c>
      <c r="AA10" s="20" t="s">
        <v>1083</v>
      </c>
      <c r="AB10" s="20">
        <v>6</v>
      </c>
      <c r="AC10" s="20" t="s">
        <v>1147</v>
      </c>
      <c r="AD10" s="20">
        <v>6</v>
      </c>
      <c r="AE10" t="s">
        <v>1088</v>
      </c>
      <c r="AF10" t="s">
        <v>1079</v>
      </c>
      <c r="AI10" t="s">
        <v>1485</v>
      </c>
      <c r="AO10" s="35" t="s">
        <v>1343</v>
      </c>
      <c r="AP10" s="34" t="s">
        <v>1344</v>
      </c>
      <c r="AQ10" s="34" t="s">
        <v>1346</v>
      </c>
      <c r="AR10" s="35" t="s">
        <v>1455</v>
      </c>
      <c r="AS10" s="35"/>
    </row>
    <row r="11" spans="1:45" x14ac:dyDescent="0.4">
      <c r="A11" s="38" t="s">
        <v>1414</v>
      </c>
      <c r="B11">
        <v>16210</v>
      </c>
      <c r="C11" t="s">
        <v>1117</v>
      </c>
      <c r="D11" t="s">
        <v>101</v>
      </c>
      <c r="F11" t="s">
        <v>1520</v>
      </c>
      <c r="G11" t="s">
        <v>1154</v>
      </c>
      <c r="H11" t="s">
        <v>1166</v>
      </c>
      <c r="I11">
        <v>-8.35</v>
      </c>
      <c r="J11">
        <v>115.5</v>
      </c>
      <c r="K11">
        <v>1973</v>
      </c>
      <c r="L11">
        <v>5</v>
      </c>
      <c r="P11" t="s">
        <v>1462</v>
      </c>
      <c r="Q11" t="s">
        <v>1462</v>
      </c>
      <c r="R11" t="s">
        <v>1462</v>
      </c>
      <c r="U11" t="s">
        <v>1237</v>
      </c>
      <c r="V11" t="s">
        <v>1240</v>
      </c>
      <c r="W11" t="s">
        <v>1078</v>
      </c>
      <c r="X11" t="s">
        <v>1244</v>
      </c>
      <c r="Y11" s="20"/>
      <c r="Z11" s="20"/>
      <c r="AA11" s="20"/>
      <c r="AB11" s="20"/>
      <c r="AC11" s="20" t="s">
        <v>1147</v>
      </c>
      <c r="AF11" t="s">
        <v>1079</v>
      </c>
      <c r="AR11" s="35"/>
      <c r="AS11" s="35"/>
    </row>
    <row r="12" spans="1:45" x14ac:dyDescent="0.4">
      <c r="A12" s="38" t="s">
        <v>1422</v>
      </c>
      <c r="B12">
        <v>19336</v>
      </c>
      <c r="C12" t="s">
        <v>1118</v>
      </c>
      <c r="D12" t="s">
        <v>103</v>
      </c>
      <c r="F12" t="s">
        <v>1520</v>
      </c>
      <c r="G12" t="s">
        <v>1160</v>
      </c>
      <c r="H12" t="s">
        <v>1167</v>
      </c>
      <c r="I12">
        <v>56</v>
      </c>
      <c r="J12">
        <v>160.6</v>
      </c>
      <c r="K12">
        <v>1955</v>
      </c>
      <c r="L12">
        <v>5</v>
      </c>
      <c r="P12" t="s">
        <v>1462</v>
      </c>
      <c r="Q12" t="s">
        <v>1462</v>
      </c>
      <c r="R12" t="s">
        <v>1462</v>
      </c>
      <c r="S12" t="s">
        <v>1463</v>
      </c>
      <c r="U12" t="s">
        <v>1237</v>
      </c>
      <c r="W12" t="s">
        <v>1078</v>
      </c>
      <c r="X12" t="s">
        <v>1241</v>
      </c>
      <c r="Y12" s="20"/>
      <c r="Z12" s="20"/>
      <c r="AA12" s="20"/>
      <c r="AB12" s="20"/>
      <c r="AC12" s="20" t="s">
        <v>1144</v>
      </c>
      <c r="AO12" s="35"/>
      <c r="AP12" s="34"/>
      <c r="AQ12" s="34"/>
      <c r="AR12" s="35"/>
      <c r="AS12" s="35"/>
    </row>
    <row r="13" spans="1:45" x14ac:dyDescent="0.4">
      <c r="A13" s="38" t="s">
        <v>1427</v>
      </c>
      <c r="B13">
        <v>11957</v>
      </c>
      <c r="C13" t="s">
        <v>1440</v>
      </c>
      <c r="D13" t="s">
        <v>1320</v>
      </c>
      <c r="F13" t="s">
        <v>1520</v>
      </c>
      <c r="G13" t="s">
        <v>1153</v>
      </c>
      <c r="H13" t="s">
        <v>1307</v>
      </c>
      <c r="I13">
        <v>-35.65</v>
      </c>
      <c r="J13">
        <v>-70.75</v>
      </c>
      <c r="K13" s="9">
        <v>11789</v>
      </c>
      <c r="L13">
        <v>5</v>
      </c>
      <c r="M13" t="s">
        <v>1405</v>
      </c>
      <c r="N13" t="s">
        <v>1406</v>
      </c>
      <c r="P13" t="s">
        <v>1462</v>
      </c>
      <c r="Q13" t="s">
        <v>1462</v>
      </c>
      <c r="T13" t="s">
        <v>1389</v>
      </c>
      <c r="U13">
        <v>2020</v>
      </c>
      <c r="W13" t="s">
        <v>1078</v>
      </c>
      <c r="X13" t="s">
        <v>1241</v>
      </c>
      <c r="Y13" s="20"/>
      <c r="Z13" s="20"/>
      <c r="AA13" s="20"/>
      <c r="AB13" s="20"/>
      <c r="AC13" s="20" t="s">
        <v>1146</v>
      </c>
      <c r="AD13">
        <v>6</v>
      </c>
      <c r="AH13" t="s">
        <v>1482</v>
      </c>
      <c r="AK13" t="s">
        <v>1450</v>
      </c>
      <c r="AL13" t="s">
        <v>1497</v>
      </c>
      <c r="AO13" s="35" t="s">
        <v>1407</v>
      </c>
      <c r="AP13" s="34" t="s">
        <v>1408</v>
      </c>
      <c r="AQ13" s="34" t="s">
        <v>1409</v>
      </c>
      <c r="AR13" s="35" t="s">
        <v>1454</v>
      </c>
      <c r="AS13" s="35"/>
    </row>
    <row r="14" spans="1:45" x14ac:dyDescent="0.4">
      <c r="A14" s="38" t="s">
        <v>1432</v>
      </c>
      <c r="B14">
        <v>18575</v>
      </c>
      <c r="C14" t="s">
        <v>1119</v>
      </c>
      <c r="D14" t="s">
        <v>137</v>
      </c>
      <c r="F14" t="s">
        <v>1520</v>
      </c>
      <c r="G14" t="s">
        <v>1158</v>
      </c>
      <c r="H14" t="s">
        <v>1130</v>
      </c>
      <c r="I14">
        <v>42.05</v>
      </c>
      <c r="J14">
        <v>140.69999999999999</v>
      </c>
      <c r="K14">
        <v>1929</v>
      </c>
      <c r="L14">
        <v>4</v>
      </c>
      <c r="P14" t="s">
        <v>1462</v>
      </c>
      <c r="Q14" t="s">
        <v>1462</v>
      </c>
      <c r="U14" t="s">
        <v>1237</v>
      </c>
      <c r="W14" t="s">
        <v>1081</v>
      </c>
      <c r="Y14" s="20"/>
      <c r="Z14" s="20"/>
      <c r="AA14" s="20"/>
      <c r="AB14" s="20"/>
      <c r="AC14" s="20"/>
      <c r="AO14" s="35"/>
      <c r="AP14" s="34"/>
      <c r="AQ14" s="34"/>
      <c r="AR14" s="35"/>
      <c r="AS14" s="35"/>
    </row>
    <row r="15" spans="1:45" x14ac:dyDescent="0.4">
      <c r="A15" s="38" t="s">
        <v>1428</v>
      </c>
      <c r="B15">
        <v>17077</v>
      </c>
      <c r="C15" t="s">
        <v>1120</v>
      </c>
      <c r="D15" t="s">
        <v>1433</v>
      </c>
      <c r="E15" t="s">
        <v>1164</v>
      </c>
      <c r="F15" t="s">
        <v>1520</v>
      </c>
      <c r="G15" t="s">
        <v>1158</v>
      </c>
      <c r="H15" t="s">
        <v>1131</v>
      </c>
      <c r="I15">
        <v>31.65</v>
      </c>
      <c r="J15">
        <v>130.69999999999999</v>
      </c>
      <c r="K15" s="9">
        <v>5126</v>
      </c>
      <c r="L15">
        <v>4</v>
      </c>
      <c r="M15" t="s">
        <v>1347</v>
      </c>
      <c r="N15" t="s">
        <v>1342</v>
      </c>
      <c r="P15" t="s">
        <v>1462</v>
      </c>
      <c r="Q15" t="s">
        <v>1462</v>
      </c>
      <c r="R15" t="s">
        <v>1468</v>
      </c>
      <c r="T15" t="s">
        <v>1348</v>
      </c>
      <c r="U15">
        <v>2019</v>
      </c>
      <c r="V15" t="s">
        <v>1239</v>
      </c>
      <c r="W15" t="s">
        <v>1078</v>
      </c>
      <c r="X15" t="s">
        <v>1243</v>
      </c>
      <c r="Y15" s="20" t="s">
        <v>1082</v>
      </c>
      <c r="Z15" s="20" t="s">
        <v>1089</v>
      </c>
      <c r="AA15" s="20" t="s">
        <v>1083</v>
      </c>
      <c r="AB15" s="20">
        <v>5</v>
      </c>
      <c r="AC15" s="20" t="s">
        <v>1148</v>
      </c>
      <c r="AD15">
        <v>5</v>
      </c>
      <c r="AE15" t="s">
        <v>1084</v>
      </c>
      <c r="AF15" t="s">
        <v>1079</v>
      </c>
      <c r="AH15" t="s">
        <v>1484</v>
      </c>
      <c r="AJ15" t="s">
        <v>1483</v>
      </c>
      <c r="AK15" t="s">
        <v>1451</v>
      </c>
      <c r="AL15" t="s">
        <v>1498</v>
      </c>
      <c r="AM15" t="s">
        <v>1501</v>
      </c>
      <c r="AN15" t="s">
        <v>1500</v>
      </c>
      <c r="AO15" s="35" t="s">
        <v>1349</v>
      </c>
      <c r="AP15" s="34" t="s">
        <v>1350</v>
      </c>
      <c r="AQ15" s="34" t="s">
        <v>1351</v>
      </c>
      <c r="AR15" s="35" t="s">
        <v>1352</v>
      </c>
      <c r="AS15" s="35"/>
    </row>
    <row r="16" spans="1:45" x14ac:dyDescent="0.4">
      <c r="A16" s="38" t="s">
        <v>1415</v>
      </c>
      <c r="B16">
        <v>10459</v>
      </c>
      <c r="C16" t="s">
        <v>1121</v>
      </c>
      <c r="D16" t="s">
        <v>157</v>
      </c>
      <c r="F16" t="s">
        <v>1520</v>
      </c>
      <c r="G16" t="s">
        <v>1161</v>
      </c>
      <c r="H16" t="s">
        <v>1151</v>
      </c>
      <c r="I16">
        <v>19.5</v>
      </c>
      <c r="J16">
        <v>-103.6</v>
      </c>
      <c r="K16">
        <v>1913</v>
      </c>
      <c r="L16">
        <v>4</v>
      </c>
      <c r="P16" t="s">
        <v>1462</v>
      </c>
      <c r="Q16" t="s">
        <v>1462</v>
      </c>
      <c r="U16" t="s">
        <v>1237</v>
      </c>
      <c r="W16" t="s">
        <v>1078</v>
      </c>
      <c r="X16" t="s">
        <v>1241</v>
      </c>
      <c r="Y16" s="20"/>
      <c r="Z16" s="20"/>
      <c r="AA16" s="20"/>
      <c r="AB16" s="20"/>
      <c r="AC16" s="20"/>
      <c r="AO16" s="35"/>
      <c r="AP16" s="34"/>
      <c r="AQ16" s="34"/>
      <c r="AR16" s="35"/>
      <c r="AS16" s="35"/>
    </row>
    <row r="17" spans="1:45" x14ac:dyDescent="0.4">
      <c r="A17" s="38" t="s">
        <v>1429</v>
      </c>
      <c r="B17">
        <v>20243</v>
      </c>
      <c r="C17" t="s">
        <v>1122</v>
      </c>
      <c r="D17" t="s">
        <v>1097</v>
      </c>
      <c r="E17" t="s">
        <v>1105</v>
      </c>
      <c r="F17" t="s">
        <v>1520</v>
      </c>
      <c r="G17" t="s">
        <v>1159</v>
      </c>
      <c r="H17" t="s">
        <v>1132</v>
      </c>
      <c r="I17">
        <v>58.3</v>
      </c>
      <c r="J17">
        <v>-155.1</v>
      </c>
      <c r="K17" s="9">
        <v>4541</v>
      </c>
      <c r="L17">
        <v>6</v>
      </c>
      <c r="M17" t="s">
        <v>1353</v>
      </c>
      <c r="N17" t="s">
        <v>1354</v>
      </c>
      <c r="P17" t="s">
        <v>1462</v>
      </c>
      <c r="Q17" t="s">
        <v>1462</v>
      </c>
      <c r="R17" t="s">
        <v>1466</v>
      </c>
      <c r="T17" t="s">
        <v>1355</v>
      </c>
      <c r="U17">
        <v>2019</v>
      </c>
      <c r="W17" t="s">
        <v>1081</v>
      </c>
      <c r="X17" t="s">
        <v>1243</v>
      </c>
      <c r="Y17" s="20" t="s">
        <v>1090</v>
      </c>
      <c r="Z17" s="20" t="s">
        <v>1091</v>
      </c>
      <c r="AA17" s="20" t="s">
        <v>1083</v>
      </c>
      <c r="AB17" s="20">
        <v>7</v>
      </c>
      <c r="AC17" s="20" t="s">
        <v>1148</v>
      </c>
      <c r="AD17">
        <v>7</v>
      </c>
      <c r="AE17" t="s">
        <v>1084</v>
      </c>
      <c r="AF17" t="s">
        <v>1079</v>
      </c>
      <c r="AO17" s="35" t="s">
        <v>1356</v>
      </c>
      <c r="AP17" s="34" t="s">
        <v>1357</v>
      </c>
      <c r="AQ17" s="34" t="s">
        <v>1358</v>
      </c>
      <c r="AR17" s="35" t="s">
        <v>1359</v>
      </c>
      <c r="AS17" s="35"/>
    </row>
    <row r="18" spans="1:45" x14ac:dyDescent="0.4">
      <c r="A18" s="38" t="s">
        <v>1425</v>
      </c>
      <c r="B18">
        <v>10624</v>
      </c>
      <c r="C18" t="s">
        <v>1123</v>
      </c>
      <c r="D18" t="s">
        <v>172</v>
      </c>
      <c r="E18" t="s">
        <v>1106</v>
      </c>
      <c r="F18" t="s">
        <v>1520</v>
      </c>
      <c r="G18" t="s">
        <v>1162</v>
      </c>
      <c r="I18">
        <v>14.75</v>
      </c>
      <c r="J18">
        <v>-91.55</v>
      </c>
      <c r="K18">
        <v>1902</v>
      </c>
      <c r="L18">
        <v>6</v>
      </c>
      <c r="P18" t="s">
        <v>1462</v>
      </c>
      <c r="Q18" t="s">
        <v>1462</v>
      </c>
      <c r="R18" t="s">
        <v>1462</v>
      </c>
      <c r="U18" t="s">
        <v>1237</v>
      </c>
      <c r="W18" t="s">
        <v>1078</v>
      </c>
      <c r="Y18" s="20"/>
      <c r="Z18" s="20"/>
      <c r="AA18" s="20"/>
      <c r="AB18" s="20"/>
      <c r="AC18" s="20"/>
      <c r="AF18" t="s">
        <v>1079</v>
      </c>
      <c r="AO18" s="35"/>
      <c r="AP18" s="35"/>
      <c r="AQ18" s="35"/>
      <c r="AR18" s="35"/>
      <c r="AS18" s="35"/>
    </row>
    <row r="19" spans="1:45" x14ac:dyDescent="0.4">
      <c r="A19" s="38" t="s">
        <v>1416</v>
      </c>
      <c r="B19">
        <v>15589</v>
      </c>
      <c r="C19" t="s">
        <v>1124</v>
      </c>
      <c r="D19" t="s">
        <v>193</v>
      </c>
      <c r="E19" t="s">
        <v>1125</v>
      </c>
      <c r="F19" t="s">
        <v>1520</v>
      </c>
      <c r="G19" t="s">
        <v>1154</v>
      </c>
      <c r="H19" t="s">
        <v>1165</v>
      </c>
      <c r="I19">
        <v>-6.1</v>
      </c>
      <c r="J19">
        <v>105.4</v>
      </c>
      <c r="K19" t="s">
        <v>1360</v>
      </c>
      <c r="L19">
        <v>6</v>
      </c>
      <c r="M19" t="s">
        <v>1361</v>
      </c>
      <c r="N19" t="s">
        <v>1336</v>
      </c>
      <c r="P19" t="s">
        <v>1462</v>
      </c>
      <c r="Q19" t="s">
        <v>1462</v>
      </c>
      <c r="R19" t="s">
        <v>1464</v>
      </c>
      <c r="T19" t="s">
        <v>1362</v>
      </c>
      <c r="U19">
        <v>2019</v>
      </c>
      <c r="V19" t="s">
        <v>1273</v>
      </c>
      <c r="W19" t="s">
        <v>1081</v>
      </c>
      <c r="X19" t="s">
        <v>1243</v>
      </c>
      <c r="Y19" s="20" t="s">
        <v>1086</v>
      </c>
      <c r="Z19" s="20">
        <v>0</v>
      </c>
      <c r="AA19" s="20" t="s">
        <v>1092</v>
      </c>
      <c r="AB19" s="20">
        <v>6</v>
      </c>
      <c r="AC19" t="s">
        <v>1146</v>
      </c>
      <c r="AD19">
        <v>7</v>
      </c>
      <c r="AE19" t="s">
        <v>1087</v>
      </c>
      <c r="AF19" t="s">
        <v>1149</v>
      </c>
      <c r="AH19" t="s">
        <v>1492</v>
      </c>
      <c r="AI19" t="s">
        <v>1493</v>
      </c>
      <c r="AO19" s="35" t="s">
        <v>1363</v>
      </c>
      <c r="AP19" s="35" t="s">
        <v>1364</v>
      </c>
      <c r="AQ19" s="35" t="s">
        <v>1365</v>
      </c>
      <c r="AR19" s="35" t="s">
        <v>1453</v>
      </c>
      <c r="AS19" s="35"/>
    </row>
    <row r="20" spans="1:45" x14ac:dyDescent="0.4">
      <c r="A20" s="38" t="s">
        <v>1417</v>
      </c>
      <c r="B20">
        <v>12911</v>
      </c>
      <c r="C20" t="s">
        <v>1126</v>
      </c>
      <c r="D20" t="s">
        <v>201</v>
      </c>
      <c r="F20" t="s">
        <v>1520</v>
      </c>
      <c r="G20" t="s">
        <v>1155</v>
      </c>
      <c r="H20" t="s">
        <v>1446</v>
      </c>
      <c r="I20">
        <v>65</v>
      </c>
      <c r="J20">
        <v>-16.7</v>
      </c>
      <c r="K20" t="s">
        <v>1367</v>
      </c>
      <c r="L20">
        <v>5</v>
      </c>
      <c r="M20" t="s">
        <v>1366</v>
      </c>
      <c r="N20" t="s">
        <v>1354</v>
      </c>
      <c r="P20" t="s">
        <v>1462</v>
      </c>
      <c r="Q20" t="s">
        <v>1462</v>
      </c>
      <c r="R20" t="s">
        <v>1464</v>
      </c>
      <c r="T20" t="s">
        <v>1368</v>
      </c>
      <c r="U20">
        <v>2019</v>
      </c>
      <c r="W20" t="s">
        <v>1078</v>
      </c>
      <c r="X20" t="s">
        <v>1242</v>
      </c>
      <c r="Y20" s="20" t="s">
        <v>1093</v>
      </c>
      <c r="Z20" s="20" t="s">
        <v>1089</v>
      </c>
      <c r="AA20" s="20"/>
      <c r="AB20" s="20">
        <v>5</v>
      </c>
      <c r="AC20" t="s">
        <v>1146</v>
      </c>
      <c r="AD20">
        <v>6</v>
      </c>
      <c r="AE20" t="s">
        <v>1084</v>
      </c>
      <c r="AF20" t="s">
        <v>1149</v>
      </c>
      <c r="AO20" s="35" t="s">
        <v>1369</v>
      </c>
      <c r="AP20" s="35" t="s">
        <v>1370</v>
      </c>
      <c r="AQ20" s="35" t="s">
        <v>1371</v>
      </c>
      <c r="AR20" s="35" t="s">
        <v>1372</v>
      </c>
      <c r="AS20" s="35"/>
    </row>
    <row r="21" spans="1:45" x14ac:dyDescent="0.4">
      <c r="A21" s="38" t="s">
        <v>1423</v>
      </c>
      <c r="B21">
        <v>17748</v>
      </c>
      <c r="C21" t="s">
        <v>1098</v>
      </c>
      <c r="D21" t="s">
        <v>1101</v>
      </c>
      <c r="F21" t="s">
        <v>1520</v>
      </c>
      <c r="G21" t="s">
        <v>1158</v>
      </c>
      <c r="H21" t="s">
        <v>1133</v>
      </c>
      <c r="I21">
        <v>36.4</v>
      </c>
      <c r="J21">
        <v>138.55000000000001</v>
      </c>
      <c r="K21" t="s">
        <v>1373</v>
      </c>
      <c r="L21">
        <v>4</v>
      </c>
      <c r="M21" t="s">
        <v>1374</v>
      </c>
      <c r="N21" t="s">
        <v>1342</v>
      </c>
      <c r="P21" t="s">
        <v>1462</v>
      </c>
      <c r="Q21" t="s">
        <v>1462</v>
      </c>
      <c r="R21" t="s">
        <v>1462</v>
      </c>
      <c r="T21" t="s">
        <v>1375</v>
      </c>
      <c r="U21">
        <v>2019</v>
      </c>
      <c r="W21" t="s">
        <v>1078</v>
      </c>
      <c r="X21" t="s">
        <v>1241</v>
      </c>
      <c r="Y21" s="20" t="s">
        <v>1085</v>
      </c>
      <c r="Z21" s="20" t="s">
        <v>1085</v>
      </c>
      <c r="AA21" s="20" t="s">
        <v>1082</v>
      </c>
      <c r="AB21" s="20">
        <v>4</v>
      </c>
      <c r="AC21" s="20" t="s">
        <v>1146</v>
      </c>
      <c r="AD21">
        <v>5</v>
      </c>
      <c r="AE21" t="s">
        <v>1087</v>
      </c>
      <c r="AO21" s="35" t="s">
        <v>1376</v>
      </c>
      <c r="AP21" s="35" t="s">
        <v>1377</v>
      </c>
      <c r="AQ21" s="35" t="s">
        <v>1378</v>
      </c>
      <c r="AR21" s="35" t="s">
        <v>1452</v>
      </c>
      <c r="AS21" s="35"/>
    </row>
    <row r="22" spans="1:45" x14ac:dyDescent="0.4">
      <c r="A22" s="38" t="s">
        <v>1430</v>
      </c>
      <c r="B22">
        <v>17452</v>
      </c>
      <c r="C22" t="s">
        <v>1099</v>
      </c>
      <c r="D22" t="s">
        <v>312</v>
      </c>
      <c r="F22" t="s">
        <v>1520</v>
      </c>
      <c r="G22" t="s">
        <v>1158</v>
      </c>
      <c r="H22" t="s">
        <v>1133</v>
      </c>
      <c r="I22">
        <v>35.35</v>
      </c>
      <c r="J22">
        <v>138.75</v>
      </c>
      <c r="K22" t="s">
        <v>1379</v>
      </c>
      <c r="L22">
        <v>5</v>
      </c>
      <c r="M22" t="s">
        <v>1380</v>
      </c>
      <c r="N22" t="s">
        <v>1339</v>
      </c>
      <c r="P22" t="s">
        <v>1462</v>
      </c>
      <c r="T22" t="s">
        <v>1381</v>
      </c>
      <c r="U22">
        <v>2019</v>
      </c>
      <c r="W22" t="s">
        <v>1081</v>
      </c>
      <c r="X22" t="s">
        <v>1243</v>
      </c>
      <c r="Y22" s="20" t="s">
        <v>1086</v>
      </c>
      <c r="Z22" s="20" t="s">
        <v>1083</v>
      </c>
      <c r="AA22" s="20" t="s">
        <v>1083</v>
      </c>
      <c r="AB22" s="20">
        <v>5</v>
      </c>
      <c r="AC22" s="20" t="s">
        <v>1148</v>
      </c>
      <c r="AD22">
        <v>5</v>
      </c>
      <c r="AE22" t="s">
        <v>1084</v>
      </c>
      <c r="AO22" s="35" t="s">
        <v>1382</v>
      </c>
      <c r="AP22" s="35" t="s">
        <v>1383</v>
      </c>
      <c r="AQ22" s="35" t="s">
        <v>1384</v>
      </c>
      <c r="AR22" s="35" t="s">
        <v>1385</v>
      </c>
      <c r="AS22" s="35"/>
    </row>
    <row r="23" spans="1:45" x14ac:dyDescent="0.4">
      <c r="A23" s="38" t="s">
        <v>1418</v>
      </c>
      <c r="C23" t="s">
        <v>1127</v>
      </c>
      <c r="D23" t="s">
        <v>198</v>
      </c>
      <c r="E23" t="s">
        <v>1128</v>
      </c>
      <c r="F23" t="s">
        <v>1520</v>
      </c>
      <c r="G23" t="s">
        <v>1163</v>
      </c>
      <c r="H23" t="s">
        <v>1129</v>
      </c>
      <c r="I23">
        <v>40.799999999999997</v>
      </c>
      <c r="J23">
        <v>14.4</v>
      </c>
      <c r="K23" t="s">
        <v>1386</v>
      </c>
      <c r="L23">
        <v>5</v>
      </c>
      <c r="M23" t="s">
        <v>1387</v>
      </c>
      <c r="N23" t="s">
        <v>1388</v>
      </c>
      <c r="P23" t="s">
        <v>1462</v>
      </c>
      <c r="Q23" t="s">
        <v>1462</v>
      </c>
      <c r="T23" t="s">
        <v>1389</v>
      </c>
      <c r="U23">
        <v>2019</v>
      </c>
      <c r="W23" t="s">
        <v>1081</v>
      </c>
      <c r="X23" t="s">
        <v>1243</v>
      </c>
      <c r="Y23" s="20" t="s">
        <v>1086</v>
      </c>
      <c r="Z23" s="20">
        <v>0</v>
      </c>
      <c r="AA23" s="20" t="s">
        <v>1083</v>
      </c>
      <c r="AB23" s="20">
        <v>6</v>
      </c>
      <c r="AC23" s="20" t="s">
        <v>1146</v>
      </c>
      <c r="AD23">
        <v>6</v>
      </c>
      <c r="AE23" t="s">
        <v>1084</v>
      </c>
      <c r="AO23" s="35" t="s">
        <v>1390</v>
      </c>
      <c r="AP23" s="35" t="s">
        <v>1391</v>
      </c>
      <c r="AQ23" s="35" t="s">
        <v>1392</v>
      </c>
      <c r="AR23" s="35" t="s">
        <v>1393</v>
      </c>
      <c r="AS23" s="35"/>
    </row>
    <row r="24" spans="1:45" x14ac:dyDescent="0.4">
      <c r="A24" s="38" t="s">
        <v>154</v>
      </c>
      <c r="C24" t="s">
        <v>1502</v>
      </c>
      <c r="D24" t="s">
        <v>1510</v>
      </c>
      <c r="F24" t="s">
        <v>1521</v>
      </c>
      <c r="G24" t="s">
        <v>1158</v>
      </c>
      <c r="H24" t="s">
        <v>1131</v>
      </c>
      <c r="I24">
        <v>31.64</v>
      </c>
      <c r="J24">
        <v>130.72</v>
      </c>
      <c r="N24" t="s">
        <v>1354</v>
      </c>
      <c r="AG24" s="40" t="s">
        <v>1609</v>
      </c>
      <c r="AL24" t="s">
        <v>1618</v>
      </c>
      <c r="AP24" s="9"/>
      <c r="AQ24" s="9"/>
    </row>
    <row r="25" spans="1:45" x14ac:dyDescent="0.4">
      <c r="A25" s="38" t="s">
        <v>1594</v>
      </c>
      <c r="C25" t="s">
        <v>1503</v>
      </c>
      <c r="D25" t="s">
        <v>1511</v>
      </c>
      <c r="F25" t="s">
        <v>1521</v>
      </c>
      <c r="G25" t="s">
        <v>1158</v>
      </c>
      <c r="H25" t="s">
        <v>1131</v>
      </c>
      <c r="I25">
        <v>30.74</v>
      </c>
      <c r="J25">
        <v>130.38</v>
      </c>
      <c r="N25" t="s">
        <v>1354</v>
      </c>
      <c r="AG25" s="40" t="s">
        <v>1610</v>
      </c>
      <c r="AL25" t="s">
        <v>1621</v>
      </c>
      <c r="AP25" s="9"/>
      <c r="AQ25" s="9"/>
    </row>
    <row r="26" spans="1:45" x14ac:dyDescent="0.4">
      <c r="A26" s="38" t="s">
        <v>1595</v>
      </c>
      <c r="C26" t="s">
        <v>1504</v>
      </c>
      <c r="D26" t="s">
        <v>1512</v>
      </c>
      <c r="F26" t="s">
        <v>1521</v>
      </c>
      <c r="G26" t="s">
        <v>1158</v>
      </c>
      <c r="H26" t="s">
        <v>1131</v>
      </c>
      <c r="I26">
        <v>31.17</v>
      </c>
      <c r="J26">
        <v>130.63999999999999</v>
      </c>
      <c r="N26" t="s">
        <v>1336</v>
      </c>
      <c r="AG26" s="40" t="s">
        <v>1611</v>
      </c>
      <c r="AL26" t="s">
        <v>1619</v>
      </c>
      <c r="AP26" s="9"/>
      <c r="AQ26" s="9"/>
    </row>
    <row r="27" spans="1:45" x14ac:dyDescent="0.4">
      <c r="A27" s="38" t="s">
        <v>1596</v>
      </c>
      <c r="C27" t="s">
        <v>1505</v>
      </c>
      <c r="D27" t="s">
        <v>1513</v>
      </c>
      <c r="F27" t="s">
        <v>1521</v>
      </c>
      <c r="G27" t="s">
        <v>1158</v>
      </c>
      <c r="H27" t="s">
        <v>1130</v>
      </c>
      <c r="I27">
        <v>43.56</v>
      </c>
      <c r="J27">
        <v>144.36000000000001</v>
      </c>
      <c r="N27" t="s">
        <v>1354</v>
      </c>
      <c r="AG27" s="40" t="s">
        <v>1612</v>
      </c>
      <c r="AP27" s="9"/>
      <c r="AQ27" s="9"/>
    </row>
    <row r="28" spans="1:45" x14ac:dyDescent="0.4">
      <c r="A28" s="38" t="s">
        <v>1597</v>
      </c>
      <c r="C28" t="s">
        <v>1506</v>
      </c>
      <c r="D28" t="s">
        <v>1514</v>
      </c>
      <c r="F28" t="s">
        <v>1521</v>
      </c>
      <c r="G28" t="s">
        <v>1158</v>
      </c>
      <c r="H28" t="s">
        <v>1518</v>
      </c>
      <c r="I28">
        <v>40.46</v>
      </c>
      <c r="J28">
        <v>140.88999999999999</v>
      </c>
      <c r="N28" t="s">
        <v>1354</v>
      </c>
      <c r="AG28" s="40" t="s">
        <v>1613</v>
      </c>
      <c r="AL28" t="s">
        <v>1623</v>
      </c>
      <c r="AP28" s="9"/>
      <c r="AQ28" s="9"/>
    </row>
    <row r="29" spans="1:45" x14ac:dyDescent="0.4">
      <c r="A29" s="38" t="s">
        <v>294</v>
      </c>
      <c r="C29" t="s">
        <v>1508</v>
      </c>
      <c r="D29" t="s">
        <v>1516</v>
      </c>
      <c r="F29" t="s">
        <v>1521</v>
      </c>
      <c r="G29" t="s">
        <v>1158</v>
      </c>
      <c r="H29" t="s">
        <v>1130</v>
      </c>
      <c r="I29">
        <v>42.75</v>
      </c>
      <c r="J29">
        <v>141.32</v>
      </c>
      <c r="N29" t="s">
        <v>1354</v>
      </c>
      <c r="AG29" s="40" t="s">
        <v>1614</v>
      </c>
      <c r="AL29" t="s">
        <v>1622</v>
      </c>
      <c r="AP29" s="9"/>
      <c r="AQ29" s="9"/>
    </row>
    <row r="30" spans="1:45" x14ac:dyDescent="0.4">
      <c r="A30" s="38" t="s">
        <v>213</v>
      </c>
      <c r="C30" t="s">
        <v>1509</v>
      </c>
      <c r="D30" t="s">
        <v>1517</v>
      </c>
      <c r="F30" t="s">
        <v>1521</v>
      </c>
      <c r="G30" t="s">
        <v>1158</v>
      </c>
      <c r="H30" t="s">
        <v>1130</v>
      </c>
      <c r="I30">
        <v>42.6</v>
      </c>
      <c r="J30">
        <v>140.85</v>
      </c>
      <c r="N30" t="s">
        <v>1354</v>
      </c>
      <c r="AG30" s="40" t="s">
        <v>1615</v>
      </c>
      <c r="AL30" t="s">
        <v>1624</v>
      </c>
      <c r="AP30" s="9"/>
      <c r="AQ30" s="9"/>
    </row>
    <row r="31" spans="1:45" x14ac:dyDescent="0.4">
      <c r="A31" s="38" t="s">
        <v>1598</v>
      </c>
      <c r="C31" t="s">
        <v>1602</v>
      </c>
      <c r="D31" t="s">
        <v>1603</v>
      </c>
      <c r="F31" t="s">
        <v>1521</v>
      </c>
      <c r="G31" t="s">
        <v>1158</v>
      </c>
      <c r="H31" t="s">
        <v>1130</v>
      </c>
      <c r="I31">
        <v>43.56</v>
      </c>
      <c r="J31">
        <v>144.36000000000001</v>
      </c>
      <c r="AG31" s="40" t="s">
        <v>1616</v>
      </c>
      <c r="AP31" s="9"/>
      <c r="AQ31" s="9"/>
    </row>
    <row r="32" spans="1:45" x14ac:dyDescent="0.4">
      <c r="A32" s="38" t="s">
        <v>1599</v>
      </c>
      <c r="C32" t="s">
        <v>1507</v>
      </c>
      <c r="D32" t="s">
        <v>1515</v>
      </c>
      <c r="F32" t="s">
        <v>1521</v>
      </c>
      <c r="G32" t="s">
        <v>1158</v>
      </c>
      <c r="H32" t="s">
        <v>1131</v>
      </c>
      <c r="I32">
        <v>31.23</v>
      </c>
      <c r="J32">
        <v>130.56</v>
      </c>
      <c r="AL32" t="s">
        <v>1620</v>
      </c>
      <c r="AP32" s="9"/>
      <c r="AQ32" s="9"/>
    </row>
    <row r="33" spans="1:43" x14ac:dyDescent="0.4">
      <c r="A33" s="38" t="s">
        <v>1600</v>
      </c>
      <c r="C33" t="s">
        <v>1604</v>
      </c>
      <c r="D33" t="s">
        <v>1605</v>
      </c>
      <c r="F33" t="s">
        <v>1521</v>
      </c>
      <c r="G33" t="s">
        <v>1158</v>
      </c>
      <c r="H33" t="s">
        <v>1130</v>
      </c>
      <c r="I33">
        <v>42.12</v>
      </c>
      <c r="J33">
        <v>140.44</v>
      </c>
      <c r="AP33" s="9"/>
      <c r="AQ33" s="9"/>
    </row>
    <row r="34" spans="1:43" x14ac:dyDescent="0.4">
      <c r="A34" s="38" t="s">
        <v>1601</v>
      </c>
      <c r="C34" t="s">
        <v>1606</v>
      </c>
      <c r="D34" t="s">
        <v>1607</v>
      </c>
      <c r="F34" t="s">
        <v>1521</v>
      </c>
      <c r="G34" t="s">
        <v>1158</v>
      </c>
      <c r="H34" t="s">
        <v>1608</v>
      </c>
      <c r="I34">
        <v>35.369999999999997</v>
      </c>
      <c r="J34">
        <v>133.54</v>
      </c>
      <c r="AP34" s="9"/>
      <c r="AQ34" s="9"/>
    </row>
    <row r="35" spans="1:43" x14ac:dyDescent="0.4">
      <c r="AP35" s="9"/>
      <c r="AQ35" s="9"/>
    </row>
    <row r="36" spans="1:43" x14ac:dyDescent="0.4">
      <c r="AP36" s="9"/>
      <c r="AQ36" s="9"/>
    </row>
    <row r="37" spans="1:43" x14ac:dyDescent="0.4">
      <c r="AP37" s="9"/>
      <c r="AQ37" s="9"/>
    </row>
    <row r="38" spans="1:43" x14ac:dyDescent="0.4">
      <c r="AP38" s="9"/>
      <c r="AQ38" s="9"/>
    </row>
    <row r="39" spans="1:43" x14ac:dyDescent="0.4">
      <c r="AP39" s="9"/>
      <c r="AQ39" s="9"/>
    </row>
    <row r="40" spans="1:43" x14ac:dyDescent="0.4">
      <c r="AP40" s="9"/>
      <c r="AQ40" s="9"/>
    </row>
    <row r="41" spans="1:43" x14ac:dyDescent="0.4">
      <c r="AP41" s="9"/>
      <c r="AQ41" s="9"/>
    </row>
    <row r="42" spans="1:43" x14ac:dyDescent="0.4">
      <c r="AP42" s="9"/>
      <c r="AQ42" s="9"/>
    </row>
    <row r="43" spans="1:43" x14ac:dyDescent="0.4">
      <c r="AP43" s="9"/>
      <c r="AQ43" s="9"/>
    </row>
    <row r="44" spans="1:43" x14ac:dyDescent="0.4">
      <c r="AP44" s="9"/>
      <c r="AQ44" s="9"/>
    </row>
    <row r="45" spans="1:43" x14ac:dyDescent="0.4">
      <c r="AP45" s="9"/>
      <c r="AQ45" s="9"/>
    </row>
    <row r="46" spans="1:43" x14ac:dyDescent="0.4">
      <c r="AP46" s="9"/>
      <c r="AQ46" s="9"/>
    </row>
    <row r="47" spans="1:43" x14ac:dyDescent="0.4">
      <c r="AP47" s="9"/>
      <c r="AQ47" s="9"/>
    </row>
    <row r="48" spans="1:43" x14ac:dyDescent="0.4">
      <c r="AP48" s="9"/>
      <c r="AQ48" s="9"/>
    </row>
    <row r="49" spans="27:43" x14ac:dyDescent="0.4">
      <c r="AP49" s="9"/>
      <c r="AQ49" s="9"/>
    </row>
    <row r="50" spans="27:43" x14ac:dyDescent="0.4">
      <c r="AP50" s="9"/>
      <c r="AQ50" s="9"/>
    </row>
    <row r="51" spans="27:43" x14ac:dyDescent="0.4">
      <c r="AP51" s="9"/>
      <c r="AQ51" s="9"/>
    </row>
    <row r="52" spans="27:43" x14ac:dyDescent="0.4">
      <c r="AP52" s="9"/>
      <c r="AQ52" s="9"/>
    </row>
    <row r="53" spans="27:43" x14ac:dyDescent="0.4">
      <c r="AP53" s="9"/>
      <c r="AQ53" s="9"/>
    </row>
    <row r="54" spans="27:43" x14ac:dyDescent="0.4">
      <c r="AA54" s="9"/>
      <c r="AB54" s="9"/>
      <c r="AC54" s="9"/>
      <c r="AD54" s="9"/>
      <c r="AP54" s="9"/>
      <c r="AQ54" s="9"/>
    </row>
  </sheetData>
  <sortState xmlns:xlrd2="http://schemas.microsoft.com/office/spreadsheetml/2017/richdata2" ref="C24:AV54">
    <sortCondition ref="Z24"/>
  </sortState>
  <phoneticPr fontId="2"/>
  <conditionalFormatting sqref="L2:T23">
    <cfRule type="colorScale" priority="3">
      <colorScale>
        <cfvo type="min"/>
        <cfvo type="percentile" val="50"/>
        <cfvo type="max"/>
        <color rgb="FF63BE7B"/>
        <color rgb="FFFFEB84"/>
        <color rgb="FFF8696B"/>
      </colorScale>
    </cfRule>
  </conditionalFormatting>
  <conditionalFormatting sqref="AD2:AD23">
    <cfRule type="colorScale" priority="2">
      <colorScale>
        <cfvo type="min"/>
        <cfvo type="percentile" val="50"/>
        <cfvo type="max"/>
        <color rgb="FF63BE7B"/>
        <color rgb="FFFFEB84"/>
        <color rgb="FFF8696B"/>
      </colorScale>
    </cfRule>
  </conditionalFormatting>
  <conditionalFormatting sqref="AB2:AB23">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F85F9-C8A4-47A0-ACA3-4F98F7511CAE}">
  <dimension ref="A1:CT201"/>
  <sheetViews>
    <sheetView topLeftCell="BP1" zoomScale="85" zoomScaleNormal="85" workbookViewId="0">
      <selection activeCell="CC6" sqref="CC6"/>
    </sheetView>
  </sheetViews>
  <sheetFormatPr defaultRowHeight="18.75" x14ac:dyDescent="0.4"/>
  <cols>
    <col min="1" max="1" width="10.125" customWidth="1"/>
    <col min="2" max="2" width="9.5" customWidth="1"/>
    <col min="3" max="3" width="6.375" customWidth="1"/>
    <col min="4" max="4" width="7.25" customWidth="1"/>
    <col min="5" max="5" width="10.625" customWidth="1"/>
    <col min="6" max="6" width="12.625" customWidth="1"/>
    <col min="7" max="7" width="6.25" customWidth="1"/>
    <col min="8" max="8" width="6" customWidth="1"/>
    <col min="9" max="9" width="8.375" customWidth="1"/>
    <col min="10" max="10" width="15.25" customWidth="1"/>
    <col min="11" max="11" width="13.375" customWidth="1"/>
    <col min="12" max="12" width="10.875" customWidth="1"/>
    <col min="13" max="13" width="6.375" customWidth="1"/>
    <col min="14" max="14" width="6" customWidth="1"/>
    <col min="15" max="15" width="6.125" customWidth="1"/>
    <col min="16" max="16" width="7.875" customWidth="1"/>
    <col min="17" max="17" width="14.75" customWidth="1"/>
    <col min="18" max="19" width="10.125" customWidth="1"/>
    <col min="20" max="21" width="10.375" customWidth="1"/>
    <col min="27" max="27" width="9.125" customWidth="1"/>
    <col min="34" max="34" width="10.375" customWidth="1"/>
    <col min="48" max="48" width="10.25" customWidth="1"/>
    <col min="53" max="53" width="10.125" customWidth="1"/>
    <col min="76" max="76" width="7.875" customWidth="1"/>
    <col min="83" max="83" width="8.375" customWidth="1"/>
  </cols>
  <sheetData>
    <row r="1" spans="1:97" x14ac:dyDescent="0.4">
      <c r="A1" t="s">
        <v>390</v>
      </c>
      <c r="E1" t="s">
        <v>379</v>
      </c>
      <c r="J1" t="s">
        <v>389</v>
      </c>
      <c r="Q1" t="s">
        <v>381</v>
      </c>
      <c r="W1" t="s">
        <v>382</v>
      </c>
      <c r="AB1" t="s">
        <v>391</v>
      </c>
      <c r="AF1" t="s">
        <v>386</v>
      </c>
      <c r="AH1">
        <f>_xlfn.DAYS(DATE(2019,8,22),DATE(2019,1,1))</f>
        <v>233</v>
      </c>
      <c r="AK1" t="s">
        <v>395</v>
      </c>
      <c r="AM1" t="s">
        <v>1028</v>
      </c>
      <c r="AP1" t="s">
        <v>426</v>
      </c>
      <c r="AT1" t="s">
        <v>411</v>
      </c>
      <c r="AY1" t="s">
        <v>404</v>
      </c>
      <c r="BD1" t="s">
        <v>408</v>
      </c>
      <c r="BH1" t="s">
        <v>412</v>
      </c>
      <c r="BM1" t="s">
        <v>451</v>
      </c>
      <c r="BQ1" t="s">
        <v>447</v>
      </c>
      <c r="BV1" t="s">
        <v>446</v>
      </c>
      <c r="CA1" t="s">
        <v>421</v>
      </c>
      <c r="CF1" t="s">
        <v>423</v>
      </c>
      <c r="CI1" t="s">
        <v>429</v>
      </c>
      <c r="CN1" t="s">
        <v>765</v>
      </c>
      <c r="CR1" t="s">
        <v>800</v>
      </c>
    </row>
    <row r="2" spans="1:97" x14ac:dyDescent="0.4">
      <c r="A2" t="s">
        <v>369</v>
      </c>
      <c r="E2" t="s">
        <v>431</v>
      </c>
      <c r="J2" t="s">
        <v>371</v>
      </c>
      <c r="Q2" t="s">
        <v>437</v>
      </c>
      <c r="W2" t="s">
        <v>385</v>
      </c>
      <c r="AB2" t="s">
        <v>392</v>
      </c>
      <c r="AF2" t="s">
        <v>388</v>
      </c>
      <c r="AK2" t="s">
        <v>396</v>
      </c>
      <c r="AP2" t="s">
        <v>402</v>
      </c>
      <c r="AY2" t="s">
        <v>407</v>
      </c>
      <c r="BD2" t="s">
        <v>410</v>
      </c>
      <c r="BH2" t="s">
        <v>416</v>
      </c>
      <c r="BM2" t="s">
        <v>419</v>
      </c>
      <c r="BQ2" t="s">
        <v>420</v>
      </c>
      <c r="CA2" t="s">
        <v>425</v>
      </c>
      <c r="CF2" t="s">
        <v>424</v>
      </c>
      <c r="CI2" t="s">
        <v>430</v>
      </c>
      <c r="CN2" t="s">
        <v>768</v>
      </c>
      <c r="CR2" t="s">
        <v>803</v>
      </c>
    </row>
    <row r="3" spans="1:97" x14ac:dyDescent="0.4">
      <c r="A3" t="s">
        <v>368</v>
      </c>
      <c r="B3" t="s">
        <v>367</v>
      </c>
      <c r="C3" t="s">
        <v>378</v>
      </c>
      <c r="D3" t="s">
        <v>433</v>
      </c>
      <c r="E3" t="s">
        <v>368</v>
      </c>
      <c r="F3" t="s">
        <v>370</v>
      </c>
      <c r="G3" t="s">
        <v>378</v>
      </c>
      <c r="H3" t="s">
        <v>433</v>
      </c>
      <c r="I3" t="s">
        <v>432</v>
      </c>
      <c r="J3" t="s">
        <v>373</v>
      </c>
      <c r="K3" t="s">
        <v>372</v>
      </c>
      <c r="L3" t="s">
        <v>434</v>
      </c>
      <c r="M3" t="s">
        <v>435</v>
      </c>
      <c r="N3" t="s">
        <v>436</v>
      </c>
      <c r="O3" t="s">
        <v>433</v>
      </c>
      <c r="P3" t="s">
        <v>438</v>
      </c>
      <c r="Q3" t="s">
        <v>375</v>
      </c>
      <c r="R3" t="s">
        <v>374</v>
      </c>
      <c r="S3" t="s">
        <v>376</v>
      </c>
      <c r="T3" t="s">
        <v>380</v>
      </c>
      <c r="U3" t="s">
        <v>378</v>
      </c>
      <c r="V3" t="s">
        <v>377</v>
      </c>
      <c r="W3" t="s">
        <v>384</v>
      </c>
      <c r="X3" t="s">
        <v>383</v>
      </c>
      <c r="Y3" t="s">
        <v>378</v>
      </c>
      <c r="Z3" t="s">
        <v>377</v>
      </c>
      <c r="AA3" t="s">
        <v>440</v>
      </c>
      <c r="AB3" t="s">
        <v>393</v>
      </c>
      <c r="AC3" t="s">
        <v>394</v>
      </c>
      <c r="AD3" t="s">
        <v>378</v>
      </c>
      <c r="AE3" t="s">
        <v>377</v>
      </c>
      <c r="AF3" t="s">
        <v>994</v>
      </c>
      <c r="AG3" t="s">
        <v>387</v>
      </c>
      <c r="AH3" t="s">
        <v>378</v>
      </c>
      <c r="AI3" t="s">
        <v>377</v>
      </c>
      <c r="AJ3" t="s">
        <v>439</v>
      </c>
      <c r="AK3" t="s">
        <v>397</v>
      </c>
      <c r="AL3" t="s">
        <v>398</v>
      </c>
      <c r="AM3" t="s">
        <v>399</v>
      </c>
      <c r="AN3" t="s">
        <v>377</v>
      </c>
      <c r="AO3" t="s">
        <v>441</v>
      </c>
      <c r="AP3" t="s">
        <v>400</v>
      </c>
      <c r="AQ3" t="s">
        <v>401</v>
      </c>
      <c r="AR3" t="s">
        <v>399</v>
      </c>
      <c r="AS3" t="s">
        <v>377</v>
      </c>
      <c r="AT3" t="s">
        <v>384</v>
      </c>
      <c r="AU3" t="s">
        <v>403</v>
      </c>
      <c r="AV3" t="s">
        <v>378</v>
      </c>
      <c r="AW3" t="s">
        <v>377</v>
      </c>
      <c r="AX3" t="s">
        <v>442</v>
      </c>
      <c r="AY3" t="s">
        <v>405</v>
      </c>
      <c r="AZ3" t="s">
        <v>406</v>
      </c>
      <c r="BA3" t="s">
        <v>378</v>
      </c>
      <c r="BB3" t="s">
        <v>377</v>
      </c>
      <c r="BC3" t="s">
        <v>443</v>
      </c>
      <c r="BD3" t="s">
        <v>409</v>
      </c>
      <c r="BE3" t="s">
        <v>781</v>
      </c>
      <c r="BF3" t="s">
        <v>378</v>
      </c>
      <c r="BG3" t="s">
        <v>377</v>
      </c>
      <c r="BH3" t="s">
        <v>413</v>
      </c>
      <c r="BI3" t="s">
        <v>414</v>
      </c>
      <c r="BJ3" t="s">
        <v>415</v>
      </c>
      <c r="BK3" t="s">
        <v>378</v>
      </c>
      <c r="BL3" t="s">
        <v>377</v>
      </c>
      <c r="BM3" t="s">
        <v>417</v>
      </c>
      <c r="BN3" t="s">
        <v>418</v>
      </c>
      <c r="BO3" t="s">
        <v>378</v>
      </c>
      <c r="BP3" t="s">
        <v>377</v>
      </c>
      <c r="BQ3" t="s">
        <v>417</v>
      </c>
      <c r="BR3" t="s">
        <v>418</v>
      </c>
      <c r="BS3" t="s">
        <v>378</v>
      </c>
      <c r="BT3" t="s">
        <v>377</v>
      </c>
      <c r="BU3" t="s">
        <v>444</v>
      </c>
      <c r="BV3" t="s">
        <v>417</v>
      </c>
      <c r="BW3" t="s">
        <v>445</v>
      </c>
      <c r="BX3" t="s">
        <v>378</v>
      </c>
      <c r="BY3" t="s">
        <v>377</v>
      </c>
      <c r="BZ3" t="s">
        <v>444</v>
      </c>
      <c r="CA3" t="s">
        <v>422</v>
      </c>
      <c r="CB3" t="s">
        <v>448</v>
      </c>
      <c r="CC3" t="s">
        <v>378</v>
      </c>
      <c r="CD3" t="s">
        <v>377</v>
      </c>
      <c r="CE3" t="s">
        <v>449</v>
      </c>
      <c r="CF3" t="s">
        <v>448</v>
      </c>
      <c r="CG3" t="s">
        <v>377</v>
      </c>
      <c r="CH3" t="s">
        <v>449</v>
      </c>
      <c r="CI3" t="s">
        <v>427</v>
      </c>
      <c r="CJ3" t="s">
        <v>428</v>
      </c>
      <c r="CK3" t="s">
        <v>378</v>
      </c>
      <c r="CL3" t="s">
        <v>377</v>
      </c>
      <c r="CM3" t="s">
        <v>450</v>
      </c>
      <c r="CN3" t="s">
        <v>766</v>
      </c>
      <c r="CO3" t="s">
        <v>767</v>
      </c>
      <c r="CP3" t="s">
        <v>773</v>
      </c>
      <c r="CQ3" t="s">
        <v>780</v>
      </c>
      <c r="CR3" t="s">
        <v>801</v>
      </c>
      <c r="CS3" t="s">
        <v>802</v>
      </c>
    </row>
    <row r="4" spans="1:97" x14ac:dyDescent="0.4">
      <c r="A4" s="9">
        <v>40698</v>
      </c>
      <c r="B4" s="10">
        <v>1</v>
      </c>
      <c r="C4" s="13">
        <f>0</f>
        <v>0</v>
      </c>
      <c r="D4" s="12">
        <f>B4/MAX(B$4:B$40)</f>
        <v>1.1664585234726595E-7</v>
      </c>
      <c r="E4" s="9">
        <v>40710</v>
      </c>
      <c r="F4">
        <v>47.826086956521699</v>
      </c>
      <c r="G4">
        <f>(E4-$A$4)*24-14.5</f>
        <v>273.5</v>
      </c>
      <c r="H4" s="12">
        <f>F4/MAX(F$4:F$40)</f>
        <v>0.66265060240963858</v>
      </c>
      <c r="I4" s="10">
        <f>F4*2300</f>
        <v>109999.99999999991</v>
      </c>
      <c r="J4" s="11">
        <v>4541.541666666667</v>
      </c>
      <c r="K4">
        <v>0</v>
      </c>
      <c r="L4">
        <f>K4</f>
        <v>0</v>
      </c>
      <c r="M4">
        <v>0</v>
      </c>
      <c r="N4">
        <v>0</v>
      </c>
      <c r="O4" s="12">
        <f t="shared" ref="O4:O12" si="0">L4/MAX(L$4:L$40)</f>
        <v>0</v>
      </c>
      <c r="P4" s="21">
        <v>1</v>
      </c>
      <c r="Q4" s="11">
        <f t="shared" ref="Q4:Q23" si="1">DATE(1912,6,FLOOR(R4,1)) +TIME(ROUND(24*MOD(R4,1),0),0,0)</f>
        <v>4541.208333333333</v>
      </c>
      <c r="R4">
        <v>6.2161520190023696</v>
      </c>
      <c r="S4">
        <v>4202248989021.02</v>
      </c>
      <c r="W4">
        <v>12.009285825061999</v>
      </c>
      <c r="X4">
        <v>1.71875</v>
      </c>
      <c r="Y4">
        <f>(W4-12.369)*24</f>
        <v>-8.6331401985120095</v>
      </c>
      <c r="Z4" s="12">
        <f t="shared" ref="Z4:Z46" si="2">X4/MAX(X$4:X$46)</f>
        <v>5.1401869158878503E-2</v>
      </c>
      <c r="AA4" s="21">
        <f>IF(X4=0, 1, POWER(X4/2, 1/0.24) *2400)</f>
        <v>1276.3581514468219</v>
      </c>
      <c r="AB4">
        <v>12.0235849056603</v>
      </c>
      <c r="AC4">
        <v>16.568070468048901</v>
      </c>
      <c r="AD4">
        <f>(AB4-12)*24</f>
        <v>0.56603773584720329</v>
      </c>
      <c r="AE4" s="12">
        <f t="shared" ref="AE4:AE17" si="3">AC4/MAX(AC$4:AC$40)</f>
        <v>9.4844530308846806E-3</v>
      </c>
      <c r="AF4">
        <v>137.71469740634001</v>
      </c>
      <c r="AG4">
        <v>0.44597722870506101</v>
      </c>
      <c r="AH4">
        <f>(AF4-233.875)*24</f>
        <v>-2307.8472622478398</v>
      </c>
      <c r="AI4" s="12">
        <f>AG4/MAX(AG$4:AG$200)</f>
        <v>9.2521377616100933E-3</v>
      </c>
      <c r="AJ4" s="21">
        <f>IF(AG4=0, 1, POWER(AG4/2, 1/0.24) *2400)</f>
        <v>4.6208561105950592</v>
      </c>
      <c r="AK4">
        <v>7.3666974169741701</v>
      </c>
      <c r="AL4">
        <v>0</v>
      </c>
      <c r="AM4">
        <f t="shared" ref="AM4:AM35" si="4">(AK4-MIN(AK$4:AK$56))*24</f>
        <v>0</v>
      </c>
      <c r="AN4" s="12">
        <f t="shared" ref="AN4:AN35" si="5">AL4/MAX(AL$4:AL$56)</f>
        <v>0</v>
      </c>
      <c r="AO4" s="21">
        <f>IF(AL4=0, 1, POWER(AL4/1000/2, 1/0.24) *2300)</f>
        <v>1</v>
      </c>
      <c r="AP4">
        <v>17.409090909090899</v>
      </c>
      <c r="AQ4">
        <v>0</v>
      </c>
      <c r="AR4">
        <f>(AP4-17)*24</f>
        <v>9.8181818181815856</v>
      </c>
      <c r="AS4" s="12">
        <f t="shared" ref="AS4:AS10" si="6">AQ4/MAX(AQ$4:AQ$56)</f>
        <v>0</v>
      </c>
      <c r="AT4">
        <v>17.042553191489301</v>
      </c>
      <c r="AU4">
        <v>0</v>
      </c>
      <c r="AV4">
        <f>(AT4-17)*24</f>
        <v>1.0212765957432168</v>
      </c>
      <c r="AW4" s="12">
        <f t="shared" ref="AW4:AW31" si="7">AU4/MAX(AU$4:AU$56)</f>
        <v>0</v>
      </c>
      <c r="AX4" s="21">
        <f>IF(AU4=0, 1, POWER(AU4/2, 1/0.24) *2400)</f>
        <v>1</v>
      </c>
      <c r="AY4">
        <v>22.964871194379299</v>
      </c>
      <c r="AZ4">
        <v>14.063700234192</v>
      </c>
      <c r="BA4">
        <f t="shared" ref="BA4:BA12" si="8">(AY4-MIN(AY$4:AY$56))*24</f>
        <v>0</v>
      </c>
      <c r="BB4" s="12">
        <f t="shared" ref="BB4:BB12" si="9">AZ4/MAX(AZ$4:AZ$56)</f>
        <v>1</v>
      </c>
      <c r="BC4" s="21">
        <f>IF(AZ4=0, 1, POWER(AZ4/2, 1/0.24) *2600)</f>
        <v>8798933.5209181514</v>
      </c>
      <c r="BD4">
        <v>5.65</v>
      </c>
      <c r="BE4">
        <v>0</v>
      </c>
      <c r="BF4">
        <f t="shared" ref="BF4:BF11" si="10">(BD4-MIN(BD$4:BD$56))*24</f>
        <v>0</v>
      </c>
      <c r="BG4" s="12">
        <f t="shared" ref="BG4:BG11" si="11">BE4/MAX(BE$4:BE$56)</f>
        <v>0</v>
      </c>
      <c r="BH4">
        <v>22.8777624309392</v>
      </c>
      <c r="BI4">
        <v>0</v>
      </c>
      <c r="BK4">
        <f t="shared" ref="BK4:BK19" si="12">(BH4-MIN(BH$4:BH$56))*24</f>
        <v>0</v>
      </c>
      <c r="BL4" s="12">
        <f t="shared" ref="BL4:BL19" si="13">BJ4/MAX(BJ$4:BJ$56)</f>
        <v>0</v>
      </c>
      <c r="BM4">
        <v>21.88</v>
      </c>
      <c r="BN4">
        <v>4052.6315789473601</v>
      </c>
      <c r="BO4">
        <f t="shared" ref="BO4:BO50" si="14">(BM4-MIN(BM$4:BM$56))*24</f>
        <v>0</v>
      </c>
      <c r="BP4" s="12">
        <f t="shared" ref="BP4:BP50" si="15">BN4/MAX(BN$4:BN$56)</f>
        <v>0.4850393700787396</v>
      </c>
      <c r="BQ4">
        <v>21.88</v>
      </c>
      <c r="BR4">
        <v>2473.6842105263099</v>
      </c>
      <c r="BS4">
        <f>(BQ4-MIN(BQ$4:BQ$66))*24</f>
        <v>0</v>
      </c>
      <c r="BT4" s="12">
        <f>BR4/MAX(BR$4:BR$66)</f>
        <v>0.36084452975047931</v>
      </c>
      <c r="BU4" s="21">
        <f>BR4*2700</f>
        <v>6678947.3684210368</v>
      </c>
      <c r="BV4" s="13">
        <v>21.8807780676817</v>
      </c>
      <c r="BW4" s="13">
        <v>14.6935238911172</v>
      </c>
      <c r="BX4">
        <f>(BV4-MIN(BV$4:BV$66))*24</f>
        <v>0</v>
      </c>
      <c r="BY4" s="12">
        <f>BW4/MAX(BW$4:BW$210)</f>
        <v>0.83265842059384931</v>
      </c>
      <c r="BZ4" s="21">
        <f>IF(BW4=0, 1, POWER(BW4/2, 1/0.24) *2700)</f>
        <v>10967230.299762728</v>
      </c>
      <c r="CA4">
        <v>16.181132075471599</v>
      </c>
      <c r="CB4">
        <v>0</v>
      </c>
      <c r="CC4">
        <f t="shared" ref="CC4:CC17" si="16">CA4-MIN(CA$4:CA$17)</f>
        <v>0</v>
      </c>
      <c r="CD4" s="12">
        <f>CB4/MAX(CB$4:CB$66)</f>
        <v>0</v>
      </c>
      <c r="CE4" s="21">
        <f>IF(CB4=0, 1, CB4*10^8)</f>
        <v>1</v>
      </c>
      <c r="CF4">
        <v>0</v>
      </c>
      <c r="CG4" s="12">
        <f t="shared" ref="CG4:CG17" si="17">CF4/MAX(CD$4:CD$66)</f>
        <v>0</v>
      </c>
      <c r="CH4" s="21">
        <f>IF(CF4=0, 1, CF4*10^8)</f>
        <v>1</v>
      </c>
      <c r="CI4">
        <v>16.403022670025099</v>
      </c>
      <c r="CJ4" s="13">
        <v>0</v>
      </c>
      <c r="CK4">
        <f t="shared" ref="CK4:CK5" si="18">(CI4-MIN(CI$4:CI$50))*24</f>
        <v>0</v>
      </c>
      <c r="CL4" s="12">
        <f t="shared" ref="CL4:CL35" si="19">CJ4/MAX(CJ$4:CJ$50)</f>
        <v>0</v>
      </c>
      <c r="CM4" s="21">
        <f>IF(CJ4=0, 1, CJ4*10^6/3600*2700)</f>
        <v>1</v>
      </c>
      <c r="CN4">
        <v>-11</v>
      </c>
      <c r="CO4">
        <v>0</v>
      </c>
      <c r="CP4">
        <f>24+CN4-13</f>
        <v>0</v>
      </c>
      <c r="CQ4" s="21">
        <f>IF(CO4=0, 1, POWER(CO4/2, 1/0.24) *2600)</f>
        <v>1</v>
      </c>
      <c r="CR4" s="29">
        <v>33371</v>
      </c>
      <c r="CS4" s="24">
        <v>490</v>
      </c>
    </row>
    <row r="5" spans="1:97" x14ac:dyDescent="0.4">
      <c r="A5" s="9">
        <v>40698</v>
      </c>
      <c r="B5" s="10">
        <v>8572958.0596050993</v>
      </c>
      <c r="C5" s="13">
        <f>0</f>
        <v>0</v>
      </c>
      <c r="D5" s="12">
        <f>B5/MAX(B$4:B$40)</f>
        <v>1</v>
      </c>
      <c r="E5" s="9">
        <v>40711</v>
      </c>
      <c r="F5">
        <v>51.304347826086897</v>
      </c>
      <c r="G5">
        <f t="shared" ref="G5:G28" si="20">(E5-$A$4)*24-14.5</f>
        <v>297.5</v>
      </c>
      <c r="H5" s="12">
        <f t="shared" ref="H5:H28" si="21">F5/MAX(F$4:F$40)</f>
        <v>0.71084337349397575</v>
      </c>
      <c r="I5" s="10">
        <f t="shared" ref="I5:I28" si="22">F5*2300</f>
        <v>117999.99999999987</v>
      </c>
      <c r="J5" s="11">
        <v>4541.875</v>
      </c>
      <c r="K5">
        <v>2.95477386934673</v>
      </c>
      <c r="L5">
        <f>(K5-K4)/(N5-N4)</f>
        <v>0.7386934673373543</v>
      </c>
      <c r="M5">
        <f>(J5-J$4)*24</f>
        <v>7.999999999992724</v>
      </c>
      <c r="N5">
        <f>AVERAGE(M4:M5)</f>
        <v>3.999999999996362</v>
      </c>
      <c r="O5" s="12">
        <f t="shared" si="0"/>
        <v>0.72187500000017779</v>
      </c>
      <c r="P5" s="21">
        <f>L5 * 2200*1000000000 / 3600</f>
        <v>451423785.59504986</v>
      </c>
      <c r="Q5" s="11">
        <f t="shared" si="1"/>
        <v>4541.25</v>
      </c>
      <c r="R5">
        <v>6.26365795724465</v>
      </c>
      <c r="S5">
        <v>5715905239067.2695</v>
      </c>
      <c r="T5" s="10">
        <f>S5-S4</f>
        <v>1513656250046.2495</v>
      </c>
      <c r="U5">
        <f>(AVERAGE(R4:R5)-(6+13/24))*24</f>
        <v>-7.2422802850357826</v>
      </c>
      <c r="V5" s="12">
        <f t="shared" ref="V5:V26" si="23">LOG10(T5)/LOG10(MAX(T$4:T$40))</f>
        <v>0.77247782851592794</v>
      </c>
      <c r="W5">
        <v>12.083727512406901</v>
      </c>
      <c r="X5">
        <v>1.71875</v>
      </c>
      <c r="Y5">
        <f t="shared" ref="Y5:Y46" si="24">(W5-12.369)*24</f>
        <v>-6.8465397022343808</v>
      </c>
      <c r="Z5" s="12">
        <f t="shared" si="2"/>
        <v>5.1401869158878503E-2</v>
      </c>
      <c r="AA5" s="21">
        <f t="shared" ref="AA5:AA46" si="25">IF(X5=0, 1, POWER(X5/2, 1/0.24) *2400)</f>
        <v>1276.3581514468219</v>
      </c>
      <c r="AB5">
        <v>12.674528301886699</v>
      </c>
      <c r="AC5">
        <v>41.130251224850703</v>
      </c>
      <c r="AD5">
        <f t="shared" ref="AD5:AD33" si="26">(AB5-12)*24</f>
        <v>16.188679245280781</v>
      </c>
      <c r="AE5" s="12">
        <f t="shared" si="3"/>
        <v>2.3545163973250682E-2</v>
      </c>
      <c r="AF5">
        <v>137.829971181556</v>
      </c>
      <c r="AG5">
        <v>1.92162328152313</v>
      </c>
      <c r="AH5">
        <f t="shared" ref="AH5:AH68" si="27">(AF5-233.875)*24</f>
        <v>-2305.0806916426559</v>
      </c>
      <c r="AI5" s="12">
        <f t="shared" ref="AI5:AI68" si="28">AG5/MAX(AG$4:AG$200)</f>
        <v>3.986554062007313E-2</v>
      </c>
      <c r="AJ5" s="21">
        <f t="shared" ref="AJ5:AJ68" si="29">IF(AG5=0, 1, POWER(AG5/2, 1/0.24) *2400)</f>
        <v>2031.7517491324534</v>
      </c>
      <c r="AK5">
        <v>7.3717712177121699</v>
      </c>
      <c r="AL5">
        <v>2875.5451190875501</v>
      </c>
      <c r="AM5">
        <f t="shared" si="4"/>
        <v>0.12177121771199495</v>
      </c>
      <c r="AN5" s="12">
        <f t="shared" si="5"/>
        <v>0.24286955536247354</v>
      </c>
      <c r="AO5" s="21">
        <f>IF(AL5=0, 1, POWER(AL5/1000/2, 1/0.24) *2300)</f>
        <v>10441.678019919154</v>
      </c>
      <c r="AP5">
        <v>17.409090909090899</v>
      </c>
      <c r="AQ5">
        <v>1.1076923076923E-2</v>
      </c>
      <c r="AR5">
        <f t="shared" ref="AR5:AR8" si="30">(AP5-17)*24</f>
        <v>9.8181818181815856</v>
      </c>
      <c r="AS5" s="12">
        <f t="shared" si="6"/>
        <v>0.56249999999999878</v>
      </c>
      <c r="AT5">
        <v>17.292553191489301</v>
      </c>
      <c r="AU5">
        <v>0.32078559738133</v>
      </c>
      <c r="AV5">
        <f t="shared" ref="AV5:AV31" si="31">(AT5-17)*24</f>
        <v>7.0212765957432168</v>
      </c>
      <c r="AW5" s="12">
        <f t="shared" si="7"/>
        <v>2.327652752211783E-2</v>
      </c>
      <c r="AX5" s="21">
        <f t="shared" ref="AX5:AX31" si="32">IF(AU5=0, 1, POWER(AU5/2, 1/0.24) *2400)</f>
        <v>1.1707967667380397</v>
      </c>
      <c r="AY5">
        <v>23.133489461358302</v>
      </c>
      <c r="AZ5">
        <v>1.87494145199063</v>
      </c>
      <c r="BA5">
        <f t="shared" si="8"/>
        <v>4.0468384074960682</v>
      </c>
      <c r="BB5" s="12">
        <f t="shared" si="9"/>
        <v>0.13331779124758561</v>
      </c>
      <c r="BC5" s="21">
        <f t="shared" ref="BC5:BC12" si="33">IF(AZ5=0, 1, POWER(AZ5/2, 1/0.24) *2600)</f>
        <v>1986.6917766223164</v>
      </c>
      <c r="BD5">
        <v>5.7</v>
      </c>
      <c r="BE5">
        <v>3.6960698689956302</v>
      </c>
      <c r="BF5">
        <f t="shared" si="10"/>
        <v>1.1999999999999957</v>
      </c>
      <c r="BG5" s="12">
        <f t="shared" si="11"/>
        <v>0.45215486731573123</v>
      </c>
      <c r="BH5">
        <v>22.899861878452999</v>
      </c>
      <c r="BI5">
        <v>30</v>
      </c>
      <c r="BJ5">
        <f>BI5-BI4</f>
        <v>30</v>
      </c>
      <c r="BK5">
        <f t="shared" si="12"/>
        <v>0.53038674033118127</v>
      </c>
      <c r="BL5" s="12">
        <f t="shared" si="13"/>
        <v>1</v>
      </c>
      <c r="BM5">
        <v>21.904347826086902</v>
      </c>
      <c r="BN5">
        <v>4210.5263157894697</v>
      </c>
      <c r="BO5">
        <f t="shared" si="14"/>
        <v>0.58434782608566138</v>
      </c>
      <c r="BP5" s="12">
        <f t="shared" si="15"/>
        <v>0.50393700787401574</v>
      </c>
      <c r="BQ5">
        <v>21.882608695652099</v>
      </c>
      <c r="BR5">
        <v>4052.6315789473701</v>
      </c>
      <c r="BS5">
        <f t="shared" ref="BS5:BS61" si="34">(BQ5-MIN(BQ$4:BQ$66))*24</f>
        <v>6.2608695650396839E-2</v>
      </c>
      <c r="BT5" s="12">
        <f t="shared" ref="BT5:BT61" si="35">BR5/MAX(BR$4:BR$66)</f>
        <v>0.59117082533589338</v>
      </c>
      <c r="BU5" s="21">
        <f t="shared" ref="BU5:BU61" si="36">BR5*2700</f>
        <v>10942105.263157899</v>
      </c>
      <c r="BV5" s="13">
        <v>21.896296584757899</v>
      </c>
      <c r="BW5" s="13">
        <v>14.818334047275901</v>
      </c>
      <c r="BX5">
        <f t="shared" ref="BX5:BX68" si="37">(BV5-MIN(BV$4:BV$66))*24</f>
        <v>0.37244440982877336</v>
      </c>
      <c r="BY5" s="12">
        <f t="shared" ref="BY5:BY68" si="38">BW5/MAX(BW$4:BW$210)</f>
        <v>0.83973121186375033</v>
      </c>
      <c r="BZ5" s="21">
        <f t="shared" ref="BZ5:BZ68" si="39">IF(BW5=0, 1, POWER(BW5/2, 1/0.24) *2700)</f>
        <v>11360641.853453653</v>
      </c>
      <c r="CA5">
        <v>16.3471698113207</v>
      </c>
      <c r="CB5">
        <v>0.35148514851485102</v>
      </c>
      <c r="CC5">
        <f t="shared" si="16"/>
        <v>0.16603773584910186</v>
      </c>
      <c r="CD5" s="12">
        <f t="shared" ref="CD5:CD17" si="40">CB5/MAX(CB$4:CB$66)</f>
        <v>0.226114649681529</v>
      </c>
      <c r="CE5" s="21">
        <f>IF(CB5=0, 1, CB5*10^8)</f>
        <v>35148514.851485103</v>
      </c>
      <c r="CF5">
        <v>0.195544554455445</v>
      </c>
      <c r="CG5" s="12">
        <f t="shared" si="17"/>
        <v>0.195544554455445</v>
      </c>
      <c r="CH5" s="21">
        <f t="shared" ref="CH5:CH17" si="41">IF(CF5=0, 1, CF5*10^8)</f>
        <v>19554455.4455445</v>
      </c>
      <c r="CI5">
        <v>16.403022670025099</v>
      </c>
      <c r="CJ5" s="13">
        <v>9.3943414897445106</v>
      </c>
      <c r="CK5">
        <f t="shared" si="18"/>
        <v>0</v>
      </c>
      <c r="CL5" s="12">
        <f t="shared" si="19"/>
        <v>0.99992818499545211</v>
      </c>
      <c r="CM5" s="21">
        <f>IF(CJ5=0, 1, CJ5*10^6/3600*2700)</f>
        <v>7045756.1173083829</v>
      </c>
      <c r="CN5">
        <v>-10.9799134058491</v>
      </c>
      <c r="CO5">
        <v>14.0891682338167</v>
      </c>
      <c r="CP5">
        <f>24+CN5-13</f>
        <v>2.0086594150900083E-2</v>
      </c>
      <c r="CQ5" s="21">
        <f>IF(CO5=0, 1, POWER(CO5/2, 1/0.24) *2600)</f>
        <v>8865515.8692248911</v>
      </c>
      <c r="CR5" s="29">
        <v>33374</v>
      </c>
      <c r="CS5" s="24">
        <v>720</v>
      </c>
    </row>
    <row r="6" spans="1:97" x14ac:dyDescent="0.4">
      <c r="A6" s="9">
        <f>DATE(YEAR(A5),MONTH(A5),DAY(A5)+1)</f>
        <v>40699</v>
      </c>
      <c r="B6" s="10">
        <v>5793192.1447737599</v>
      </c>
      <c r="C6" s="13">
        <f>C5+24</f>
        <v>24</v>
      </c>
      <c r="D6" s="12">
        <f t="shared" ref="D6:D31" si="42">B6/MAX(B$4:B$40)</f>
        <v>0.67575183553862095</v>
      </c>
      <c r="E6" s="9">
        <v>40712</v>
      </c>
      <c r="F6">
        <v>55.2173913043478</v>
      </c>
      <c r="G6">
        <f t="shared" si="20"/>
        <v>321.5</v>
      </c>
      <c r="H6" s="12">
        <f t="shared" si="21"/>
        <v>0.76506024096385572</v>
      </c>
      <c r="I6" s="10">
        <f t="shared" si="22"/>
        <v>126999.99999999994</v>
      </c>
      <c r="J6" s="11">
        <v>4542</v>
      </c>
      <c r="K6">
        <v>8.5829145728643201</v>
      </c>
      <c r="L6">
        <f t="shared" ref="L6:L12" si="43">(K6-K5)/(N6-N5)</f>
        <v>1.0232983097311479</v>
      </c>
      <c r="M6">
        <f t="shared" ref="M6:M11" si="44">(J6-J$4)*24</f>
        <v>10.999999999992724</v>
      </c>
      <c r="N6">
        <f t="shared" ref="N6:N12" si="45">AVERAGE(M5:M6)</f>
        <v>9.499999999992724</v>
      </c>
      <c r="O6" s="12">
        <f t="shared" si="0"/>
        <v>1</v>
      </c>
      <c r="P6" s="21">
        <f t="shared" ref="P6:P11" si="46">L6 * 2200*1000000000 / 3600</f>
        <v>625348967.05792367</v>
      </c>
      <c r="Q6" s="11">
        <f t="shared" si="1"/>
        <v>4541.291666666667</v>
      </c>
      <c r="R6">
        <v>6.2874109263657898</v>
      </c>
      <c r="S6">
        <v>12162426896548.699</v>
      </c>
      <c r="T6" s="10">
        <f t="shared" ref="T6:T31" si="47">S6-S5</f>
        <v>6446521657481.4297</v>
      </c>
      <c r="U6">
        <f t="shared" ref="U6:U23" si="48">(AVERAGE(R5:R6)-(6+13/24))*24</f>
        <v>-6.3871733966747186</v>
      </c>
      <c r="V6" s="12">
        <f t="shared" si="23"/>
        <v>0.81238897872104587</v>
      </c>
      <c r="W6">
        <v>12.135080645161199</v>
      </c>
      <c r="X6">
        <v>3.7499999999999898</v>
      </c>
      <c r="Y6">
        <f t="shared" si="24"/>
        <v>-5.6140645161312079</v>
      </c>
      <c r="Z6" s="12">
        <f t="shared" si="2"/>
        <v>0.11214953271028007</v>
      </c>
      <c r="AA6" s="21">
        <f t="shared" si="25"/>
        <v>32939.465065253236</v>
      </c>
      <c r="AB6">
        <v>13.438679245283</v>
      </c>
      <c r="AC6">
        <v>53.209371416657604</v>
      </c>
      <c r="AD6">
        <f t="shared" si="26"/>
        <v>34.528301886791994</v>
      </c>
      <c r="AE6" s="12">
        <f t="shared" si="3"/>
        <v>3.0459900866393233E-2</v>
      </c>
      <c r="AF6">
        <v>138.060518731988</v>
      </c>
      <c r="AG6">
        <v>3.1516039117494201</v>
      </c>
      <c r="AH6">
        <f t="shared" si="27"/>
        <v>-2299.5475504322881</v>
      </c>
      <c r="AI6" s="12">
        <f t="shared" si="28"/>
        <v>6.5382426914937217E-2</v>
      </c>
      <c r="AJ6" s="21">
        <f t="shared" si="29"/>
        <v>15963.742786354207</v>
      </c>
      <c r="AK6">
        <v>7.3920664206642002</v>
      </c>
      <c r="AL6">
        <v>3601.0287375601001</v>
      </c>
      <c r="AM6">
        <f t="shared" si="4"/>
        <v>0.60885608856072082</v>
      </c>
      <c r="AN6" s="12">
        <f t="shared" si="5"/>
        <v>0.30414415775754799</v>
      </c>
      <c r="AO6" s="21">
        <f t="shared" ref="AO6:AO56" si="49">IF(AL6=0, 1, POWER(AL6/1000/2, 1/0.24) *2300)</f>
        <v>26661.23732798046</v>
      </c>
      <c r="AP6">
        <v>17.518716577540101</v>
      </c>
      <c r="AQ6">
        <v>1.1076923076923E-2</v>
      </c>
      <c r="AR6">
        <f t="shared" si="30"/>
        <v>12.449197860962414</v>
      </c>
      <c r="AS6" s="12">
        <f t="shared" si="6"/>
        <v>0.56249999999999878</v>
      </c>
      <c r="AT6">
        <v>17.321808510638199</v>
      </c>
      <c r="AU6">
        <v>0.56055646481178201</v>
      </c>
      <c r="AV6">
        <f t="shared" si="31"/>
        <v>7.7234042553167797</v>
      </c>
      <c r="AW6" s="12">
        <f t="shared" si="7"/>
        <v>4.0674544266967497E-2</v>
      </c>
      <c r="AX6" s="21">
        <f t="shared" si="32"/>
        <v>11.981199040684503</v>
      </c>
      <c r="AY6">
        <v>23.6814988290398</v>
      </c>
      <c r="AZ6">
        <v>10.111475409836</v>
      </c>
      <c r="BA6">
        <f t="shared" si="8"/>
        <v>17.199063231852023</v>
      </c>
      <c r="BB6" s="12">
        <f t="shared" si="9"/>
        <v>0.71897688669819215</v>
      </c>
      <c r="BC6" s="21">
        <f t="shared" si="33"/>
        <v>2225404.2229673462</v>
      </c>
      <c r="BD6">
        <v>10.7539028384279</v>
      </c>
      <c r="BE6">
        <v>2.9990174672488998</v>
      </c>
      <c r="BF6">
        <f t="shared" si="10"/>
        <v>122.49366812226958</v>
      </c>
      <c r="BG6" s="12">
        <f t="shared" si="11"/>
        <v>0.36688168596498194</v>
      </c>
      <c r="BH6">
        <v>22.921961325966802</v>
      </c>
      <c r="BI6">
        <v>47.142857142857103</v>
      </c>
      <c r="BJ6">
        <f t="shared" ref="BJ6:BJ18" si="50">BI6-BI5</f>
        <v>17.142857142857103</v>
      </c>
      <c r="BK6">
        <f t="shared" si="12"/>
        <v>1.0607734806624478</v>
      </c>
      <c r="BL6" s="12">
        <f t="shared" si="13"/>
        <v>0.57142857142857006</v>
      </c>
      <c r="BM6">
        <v>21.921739130434698</v>
      </c>
      <c r="BN6">
        <v>8355.2631578947294</v>
      </c>
      <c r="BO6">
        <f t="shared" si="14"/>
        <v>1.0017391304327816</v>
      </c>
      <c r="BP6" s="12">
        <f t="shared" si="15"/>
        <v>1</v>
      </c>
      <c r="BQ6">
        <v>21.891304347826001</v>
      </c>
      <c r="BR6">
        <v>5276.3157894736796</v>
      </c>
      <c r="BS6">
        <f t="shared" si="34"/>
        <v>0.27130434782404222</v>
      </c>
      <c r="BT6" s="12">
        <f t="shared" si="35"/>
        <v>0.76967370441458738</v>
      </c>
      <c r="BU6" s="21">
        <f t="shared" si="36"/>
        <v>14246052.631578935</v>
      </c>
      <c r="BV6" s="13">
        <v>21.911776159507699</v>
      </c>
      <c r="BW6" s="13">
        <v>14.8173604891156</v>
      </c>
      <c r="BX6">
        <f t="shared" si="37"/>
        <v>0.74395420382398925</v>
      </c>
      <c r="BY6" s="12">
        <f t="shared" si="38"/>
        <v>0.83967604188504952</v>
      </c>
      <c r="BZ6" s="21">
        <f t="shared" si="39"/>
        <v>11357532.22164344</v>
      </c>
      <c r="CA6">
        <v>16.996226415094299</v>
      </c>
      <c r="CB6">
        <v>1.3613861386138599</v>
      </c>
      <c r="CC6">
        <f t="shared" si="16"/>
        <v>0.81509433962269995</v>
      </c>
      <c r="CD6" s="12">
        <f t="shared" si="40"/>
        <v>0.87579617834395063</v>
      </c>
      <c r="CE6" s="21">
        <f t="shared" ref="CE6:CE17" si="51">IF(CB6=0, 1, CB6*10^8)</f>
        <v>136138613.861386</v>
      </c>
      <c r="CF6">
        <v>1.03465346534653</v>
      </c>
      <c r="CG6" s="12">
        <f t="shared" si="17"/>
        <v>1.03465346534653</v>
      </c>
      <c r="CH6" s="21">
        <f t="shared" si="41"/>
        <v>103465346.53465301</v>
      </c>
      <c r="CI6">
        <v>16.604534005037699</v>
      </c>
      <c r="CJ6" s="13">
        <v>9.3950161928751292</v>
      </c>
      <c r="CK6">
        <f>(CI6-MIN(CI$4:CI$50))*24</f>
        <v>4.8362720403024184</v>
      </c>
      <c r="CL6" s="12">
        <f t="shared" si="19"/>
        <v>1</v>
      </c>
      <c r="CM6" s="21">
        <f t="shared" ref="CM6:CM35" si="52">IF(CJ6=0, 1, CJ6*10^6/3600*2700)</f>
        <v>7046262.1446563471</v>
      </c>
      <c r="CN6">
        <v>-10.179286129316401</v>
      </c>
      <c r="CO6">
        <v>14.528261806731299</v>
      </c>
      <c r="CP6">
        <f t="shared" ref="CP6:CP35" si="53">24+CN6-13</f>
        <v>0.82071387068359947</v>
      </c>
      <c r="CQ6" s="21">
        <f t="shared" ref="CQ6:CQ35" si="54">IF(CO6=0, 1, POWER(CO6/2, 1/0.24) *2600)</f>
        <v>10074850.385069432</v>
      </c>
      <c r="CR6" s="29">
        <v>33378</v>
      </c>
      <c r="CS6" s="24">
        <v>1720</v>
      </c>
    </row>
    <row r="7" spans="1:97" x14ac:dyDescent="0.4">
      <c r="A7" s="9">
        <f>DATE(YEAR(A6),MONTH(A6),DAY(A6)+1)</f>
        <v>40700</v>
      </c>
      <c r="B7" s="10">
        <v>2958861.3849752499</v>
      </c>
      <c r="C7" s="13">
        <f t="shared" ref="C7:C31" si="55">C6+24</f>
        <v>48</v>
      </c>
      <c r="D7" s="12">
        <f t="shared" si="42"/>
        <v>0.34513890822784982</v>
      </c>
      <c r="E7" s="9">
        <v>40715</v>
      </c>
      <c r="F7">
        <v>54.782608695652101</v>
      </c>
      <c r="G7">
        <f t="shared" si="20"/>
        <v>393.5</v>
      </c>
      <c r="H7" s="12">
        <f t="shared" si="21"/>
        <v>0.75903614457831292</v>
      </c>
      <c r="I7" s="10">
        <f t="shared" si="22"/>
        <v>125999.99999999983</v>
      </c>
      <c r="J7" s="11">
        <v>4542.25</v>
      </c>
      <c r="K7">
        <v>9.4874371859296396</v>
      </c>
      <c r="L7">
        <f t="shared" si="43"/>
        <v>0.20100502512562654</v>
      </c>
      <c r="M7">
        <f t="shared" si="44"/>
        <v>16.999999999992724</v>
      </c>
      <c r="N7">
        <f t="shared" si="45"/>
        <v>13.999999999992724</v>
      </c>
      <c r="O7" s="12">
        <f t="shared" si="0"/>
        <v>0.19642857142843984</v>
      </c>
      <c r="P7" s="21">
        <f t="shared" si="46"/>
        <v>122836404.24343844</v>
      </c>
      <c r="Q7" s="11">
        <f t="shared" ref="Q7" si="56">DATE(1912,6,FLOOR(R7,1)) +TIME(ROUND(24*MOD(R7,1),0),0,0)</f>
        <v>4541.25</v>
      </c>
      <c r="R7">
        <v>6.26365795724465</v>
      </c>
      <c r="S7">
        <v>5255908225102.3701</v>
      </c>
      <c r="T7" s="10">
        <f>S8-S6</f>
        <v>699668930152</v>
      </c>
      <c r="U7">
        <f>(AVERAGE(R6:R8)-(6+13/24))*24</f>
        <v>-5.532066508313676</v>
      </c>
      <c r="V7" s="12">
        <f t="shared" si="23"/>
        <v>0.75122302371389149</v>
      </c>
      <c r="W7">
        <v>12.163577853597999</v>
      </c>
      <c r="X7">
        <v>7.1874999999999902</v>
      </c>
      <c r="Y7">
        <f t="shared" si="24"/>
        <v>-4.9301315136480071</v>
      </c>
      <c r="Z7" s="12">
        <f t="shared" si="2"/>
        <v>0.2149532710280371</v>
      </c>
      <c r="AA7" s="21">
        <f t="shared" si="25"/>
        <v>495443.34616620932</v>
      </c>
      <c r="AB7">
        <v>14.0754716981132</v>
      </c>
      <c r="AC7">
        <v>69.4907745230893</v>
      </c>
      <c r="AD7">
        <f t="shared" si="26"/>
        <v>49.811320754716789</v>
      </c>
      <c r="AE7" s="12">
        <f t="shared" si="3"/>
        <v>3.9780250109091517E-2</v>
      </c>
      <c r="AF7">
        <v>138.52161383285301</v>
      </c>
      <c r="AG7">
        <v>3.8902536967921701</v>
      </c>
      <c r="AH7">
        <f t="shared" si="27"/>
        <v>-2288.4812680115278</v>
      </c>
      <c r="AI7" s="12">
        <f t="shared" si="28"/>
        <v>8.0706280082603776E-2</v>
      </c>
      <c r="AJ7" s="21">
        <f t="shared" si="29"/>
        <v>38384.946837765143</v>
      </c>
      <c r="AK7">
        <v>7.4326568265682598</v>
      </c>
      <c r="AL7">
        <v>11839.874762383901</v>
      </c>
      <c r="AM7">
        <f t="shared" si="4"/>
        <v>1.5830258302581512</v>
      </c>
      <c r="AN7" s="12">
        <f t="shared" si="5"/>
        <v>1</v>
      </c>
      <c r="AO7" s="21">
        <f t="shared" si="49"/>
        <v>3799406.895923744</v>
      </c>
      <c r="AP7">
        <v>17.518716577540101</v>
      </c>
      <c r="AQ7">
        <v>1.9692307692307599E-2</v>
      </c>
      <c r="AR7">
        <f t="shared" si="30"/>
        <v>12.449197860962414</v>
      </c>
      <c r="AS7" s="12">
        <f t="shared" si="6"/>
        <v>1</v>
      </c>
      <c r="AT7">
        <v>17.353723404255302</v>
      </c>
      <c r="AU7">
        <v>1.2626841243862399</v>
      </c>
      <c r="AV7">
        <f t="shared" si="31"/>
        <v>8.4893617021272405</v>
      </c>
      <c r="AW7" s="12">
        <f t="shared" si="7"/>
        <v>9.1621637669971473E-2</v>
      </c>
      <c r="AX7" s="21">
        <f t="shared" si="32"/>
        <v>353.16765939403911</v>
      </c>
      <c r="AY7">
        <v>23.716627634660401</v>
      </c>
      <c r="AZ7">
        <v>10.513817330210699</v>
      </c>
      <c r="BA7">
        <f t="shared" si="8"/>
        <v>18.042154566746461</v>
      </c>
      <c r="BB7" s="12">
        <f t="shared" si="9"/>
        <v>0.74758542596416111</v>
      </c>
      <c r="BC7" s="21">
        <f t="shared" si="33"/>
        <v>2618284.3671423728</v>
      </c>
      <c r="BD7">
        <v>10.811462882096</v>
      </c>
      <c r="BE7">
        <v>8.1743449781659301</v>
      </c>
      <c r="BF7">
        <f t="shared" si="10"/>
        <v>123.875109170304</v>
      </c>
      <c r="BG7" s="12">
        <f t="shared" si="11"/>
        <v>1</v>
      </c>
      <c r="BH7">
        <v>22.942679558011001</v>
      </c>
      <c r="BI7">
        <v>61.428571428571402</v>
      </c>
      <c r="BJ7">
        <f t="shared" si="50"/>
        <v>14.285714285714299</v>
      </c>
      <c r="BK7">
        <f t="shared" si="12"/>
        <v>1.558011049723234</v>
      </c>
      <c r="BL7" s="12">
        <f t="shared" si="13"/>
        <v>0.47619047619047661</v>
      </c>
      <c r="BM7">
        <v>21.939130434782601</v>
      </c>
      <c r="BN7">
        <v>2789.4736842105199</v>
      </c>
      <c r="BO7">
        <f t="shared" si="14"/>
        <v>1.4191304347824598</v>
      </c>
      <c r="BP7" s="12">
        <f t="shared" si="15"/>
        <v>0.33385826771653498</v>
      </c>
      <c r="BQ7">
        <v>21.9086956521739</v>
      </c>
      <c r="BR7">
        <v>4210.5263157894697</v>
      </c>
      <c r="BS7">
        <f t="shared" si="34"/>
        <v>0.68869565217363515</v>
      </c>
      <c r="BT7" s="12">
        <f t="shared" si="35"/>
        <v>0.61420345489443373</v>
      </c>
      <c r="BU7" s="21">
        <f t="shared" si="36"/>
        <v>11368421.052631568</v>
      </c>
      <c r="BV7" s="13">
        <v>21.918591066630299</v>
      </c>
      <c r="BW7" s="13">
        <v>16.829510494956899</v>
      </c>
      <c r="BX7">
        <f t="shared" si="37"/>
        <v>0.90751197476637913</v>
      </c>
      <c r="BY7" s="12">
        <f t="shared" si="38"/>
        <v>0.95370135387127664</v>
      </c>
      <c r="BZ7" s="21">
        <f t="shared" si="39"/>
        <v>19306488.906285007</v>
      </c>
      <c r="CA7">
        <v>17.177358490566</v>
      </c>
      <c r="CB7">
        <v>1.3762376237623699</v>
      </c>
      <c r="CC7">
        <f t="shared" si="16"/>
        <v>0.99622641509440157</v>
      </c>
      <c r="CD7" s="12">
        <f t="shared" si="40"/>
        <v>0.88535031847133605</v>
      </c>
      <c r="CE7" s="21">
        <f t="shared" si="51"/>
        <v>137623762.376237</v>
      </c>
      <c r="CF7">
        <v>1.07920792079207</v>
      </c>
      <c r="CG7" s="12">
        <f t="shared" si="17"/>
        <v>1.07920792079207</v>
      </c>
      <c r="CH7" s="21">
        <f t="shared" si="41"/>
        <v>107920792.07920699</v>
      </c>
      <c r="CI7">
        <v>16.604534005037699</v>
      </c>
      <c r="CJ7" s="13">
        <v>0.66287333573227802</v>
      </c>
      <c r="CK7">
        <f t="shared" ref="CK7:CK35" si="57">(CI7-MIN(CI$4:CI$50))*24</f>
        <v>4.8362720403024184</v>
      </c>
      <c r="CL7" s="12">
        <f t="shared" si="19"/>
        <v>7.0555848135203783E-2</v>
      </c>
      <c r="CM7" s="21">
        <f t="shared" si="52"/>
        <v>497155.00179920858</v>
      </c>
      <c r="CN7">
        <v>-9.5215142105624899</v>
      </c>
      <c r="CO7">
        <v>14.968604934491999</v>
      </c>
      <c r="CP7">
        <f t="shared" si="53"/>
        <v>1.4784857894375101</v>
      </c>
      <c r="CQ7" s="21">
        <f t="shared" si="54"/>
        <v>11409603.666341575</v>
      </c>
      <c r="CR7" s="29">
        <v>33379</v>
      </c>
      <c r="CS7" s="24">
        <v>1800</v>
      </c>
    </row>
    <row r="8" spans="1:97" x14ac:dyDescent="0.4">
      <c r="A8" s="9">
        <f t="shared" ref="A8:A31" si="58">DATE(YEAR(A7),MONTH(A7),DAY(A7)+1)</f>
        <v>40701</v>
      </c>
      <c r="B8" s="10">
        <v>2365158.1311899298</v>
      </c>
      <c r="C8" s="13">
        <f t="shared" si="55"/>
        <v>72</v>
      </c>
      <c r="D8" s="12">
        <f t="shared" si="42"/>
        <v>0.27588588614871601</v>
      </c>
      <c r="E8" s="9">
        <v>40716</v>
      </c>
      <c r="F8">
        <v>72.173913043478194</v>
      </c>
      <c r="G8">
        <f t="shared" si="20"/>
        <v>417.5</v>
      </c>
      <c r="H8" s="12">
        <f t="shared" si="21"/>
        <v>1</v>
      </c>
      <c r="I8" s="10">
        <f t="shared" si="22"/>
        <v>165999.99999999985</v>
      </c>
      <c r="J8" s="11">
        <v>4542.416666666667</v>
      </c>
      <c r="K8">
        <v>9.6884422110552695</v>
      </c>
      <c r="L8">
        <f t="shared" si="43"/>
        <v>4.0201005025096728E-2</v>
      </c>
      <c r="M8">
        <f t="shared" si="44"/>
        <v>21</v>
      </c>
      <c r="N8">
        <f t="shared" si="45"/>
        <v>18.999999999996362</v>
      </c>
      <c r="O8" s="12">
        <f t="shared" si="0"/>
        <v>3.9285714285660037E-2</v>
      </c>
      <c r="P8" s="21">
        <f t="shared" si="46"/>
        <v>24567280.848670226</v>
      </c>
      <c r="Q8" s="11">
        <f>DATE(1912,6,FLOOR(R8,1)) +TIME(ROUND(24*MOD(R8,1),0),0,0)</f>
        <v>4541.375</v>
      </c>
      <c r="R8">
        <v>6.3824228028503498</v>
      </c>
      <c r="S8">
        <v>12862095826700.699</v>
      </c>
      <c r="T8" s="10">
        <f t="shared" ref="T8:T9" si="59">S9-S7</f>
        <v>9536554576286.9297</v>
      </c>
      <c r="U8">
        <f t="shared" ref="U8:U9" si="60">(AVERAGE(R7:R9)-(6+13/24))*24</f>
        <v>-4.0118764845607373</v>
      </c>
      <c r="V8" s="12">
        <f t="shared" si="23"/>
        <v>0.8231748540016901</v>
      </c>
      <c r="W8">
        <v>12.2014965880893</v>
      </c>
      <c r="X8">
        <v>5.3125</v>
      </c>
      <c r="Y8">
        <f t="shared" si="24"/>
        <v>-4.0200818858567828</v>
      </c>
      <c r="Z8" s="12">
        <f t="shared" si="2"/>
        <v>0.15887850467289719</v>
      </c>
      <c r="AA8" s="21">
        <f t="shared" si="25"/>
        <v>140604.27407364608</v>
      </c>
      <c r="AB8">
        <v>14.4150943396226</v>
      </c>
      <c r="AC8">
        <v>272.37308454081</v>
      </c>
      <c r="AD8">
        <f t="shared" si="26"/>
        <v>57.962264150942403</v>
      </c>
      <c r="AE8" s="12">
        <f t="shared" si="3"/>
        <v>0.1559209765667246</v>
      </c>
      <c r="AF8">
        <v>138.867435158501</v>
      </c>
      <c r="AG8">
        <v>4.3827656257381804</v>
      </c>
      <c r="AH8">
        <f t="shared" si="27"/>
        <v>-2280.1815561959761</v>
      </c>
      <c r="AI8" s="12">
        <f t="shared" si="28"/>
        <v>9.0923815693280341E-2</v>
      </c>
      <c r="AJ8" s="21">
        <f t="shared" si="29"/>
        <v>63076.940701909676</v>
      </c>
      <c r="AK8">
        <v>7.46309963099631</v>
      </c>
      <c r="AL8">
        <v>382.64564463826298</v>
      </c>
      <c r="AM8">
        <f t="shared" si="4"/>
        <v>2.3136531365313573</v>
      </c>
      <c r="AN8" s="12">
        <f t="shared" si="5"/>
        <v>3.2318386158437636E-2</v>
      </c>
      <c r="AO8" s="21">
        <f t="shared" si="49"/>
        <v>2.3393188175016322</v>
      </c>
      <c r="AP8">
        <v>17.600000000000001</v>
      </c>
      <c r="AQ8">
        <v>1.9692307692307599E-2</v>
      </c>
      <c r="AR8">
        <f t="shared" si="30"/>
        <v>14.400000000000034</v>
      </c>
      <c r="AS8" s="12">
        <f t="shared" si="6"/>
        <v>1</v>
      </c>
      <c r="AT8">
        <v>17.3829787234042</v>
      </c>
      <c r="AU8">
        <v>2.4255319148936101</v>
      </c>
      <c r="AV8">
        <f t="shared" si="31"/>
        <v>9.1914893617008033</v>
      </c>
      <c r="AW8" s="12">
        <f t="shared" si="7"/>
        <v>0.17599904993765217</v>
      </c>
      <c r="AX8" s="21">
        <f t="shared" si="32"/>
        <v>5361.447597998108</v>
      </c>
      <c r="AY8">
        <v>23.758782201405101</v>
      </c>
      <c r="AZ8">
        <v>1.9166276346604201</v>
      </c>
      <c r="BA8">
        <f t="shared" si="8"/>
        <v>19.053864168619242</v>
      </c>
      <c r="BB8" s="12">
        <f t="shared" si="9"/>
        <v>0.13628188902950802</v>
      </c>
      <c r="BC8" s="21">
        <f t="shared" si="33"/>
        <v>2177.3202231934192</v>
      </c>
      <c r="BD8">
        <v>11.3692412663755</v>
      </c>
      <c r="BE8">
        <v>7.1872270742357998</v>
      </c>
      <c r="BF8">
        <f t="shared" si="10"/>
        <v>137.26179039301201</v>
      </c>
      <c r="BG8" s="12">
        <f t="shared" si="11"/>
        <v>0.87924195680916695</v>
      </c>
      <c r="BH8">
        <v>22.975828729281702</v>
      </c>
      <c r="BI8">
        <v>0</v>
      </c>
      <c r="BJ8">
        <v>0</v>
      </c>
      <c r="BK8">
        <f t="shared" si="12"/>
        <v>2.3535911602200486</v>
      </c>
      <c r="BL8" s="12">
        <f t="shared" si="13"/>
        <v>0</v>
      </c>
      <c r="BM8">
        <v>21.960869565217301</v>
      </c>
      <c r="BN8">
        <v>3144.7368421052602</v>
      </c>
      <c r="BO8">
        <f t="shared" si="14"/>
        <v>1.9408695652152517</v>
      </c>
      <c r="BP8" s="12">
        <f t="shared" si="15"/>
        <v>0.37637795275590546</v>
      </c>
      <c r="BQ8">
        <v>21.926086956521701</v>
      </c>
      <c r="BR8">
        <v>6855.2631578947303</v>
      </c>
      <c r="BS8">
        <f t="shared" si="34"/>
        <v>1.1060869565208407</v>
      </c>
      <c r="BT8" s="12">
        <f t="shared" si="35"/>
        <v>1</v>
      </c>
      <c r="BU8" s="21">
        <f t="shared" si="36"/>
        <v>18509210.526315771</v>
      </c>
      <c r="BV8" s="13">
        <v>21.928131936601801</v>
      </c>
      <c r="BW8" s="13">
        <v>17.646520503134798</v>
      </c>
      <c r="BX8">
        <f t="shared" si="37"/>
        <v>1.1364928540824337</v>
      </c>
      <c r="BY8" s="12">
        <f t="shared" si="38"/>
        <v>1</v>
      </c>
      <c r="BZ8" s="21">
        <f t="shared" si="39"/>
        <v>23522580.853189643</v>
      </c>
      <c r="CA8">
        <v>17.343396226414999</v>
      </c>
      <c r="CB8">
        <v>1.3391089108910801</v>
      </c>
      <c r="CC8">
        <f t="shared" si="16"/>
        <v>1.1622641509434004</v>
      </c>
      <c r="CD8" s="12">
        <f t="shared" si="40"/>
        <v>0.86146496815286289</v>
      </c>
      <c r="CE8" s="21">
        <f t="shared" si="51"/>
        <v>133910891.08910801</v>
      </c>
      <c r="CF8">
        <v>1.0272277227722699</v>
      </c>
      <c r="CG8" s="12">
        <f t="shared" si="17"/>
        <v>1.0272277227722699</v>
      </c>
      <c r="CH8" s="21">
        <f t="shared" si="41"/>
        <v>102722772.277227</v>
      </c>
      <c r="CI8">
        <v>16.6851385390428</v>
      </c>
      <c r="CJ8" s="13">
        <v>0.66314321698452905</v>
      </c>
      <c r="CK8">
        <f t="shared" si="57"/>
        <v>6.7707808564248353</v>
      </c>
      <c r="CL8" s="12">
        <f t="shared" si="19"/>
        <v>7.0584574137023307E-2</v>
      </c>
      <c r="CM8" s="21">
        <f t="shared" si="52"/>
        <v>497357.41273839679</v>
      </c>
      <c r="CN8">
        <v>-8.8350650080908597</v>
      </c>
      <c r="CO8">
        <v>15.4830466646257</v>
      </c>
      <c r="CP8">
        <f t="shared" si="53"/>
        <v>2.1649349919091403</v>
      </c>
      <c r="CQ8" s="21">
        <f t="shared" si="54"/>
        <v>13134598.266405307</v>
      </c>
      <c r="CR8" s="29">
        <v>33382</v>
      </c>
      <c r="CS8" s="24">
        <v>1160</v>
      </c>
    </row>
    <row r="9" spans="1:97" x14ac:dyDescent="0.4">
      <c r="A9" s="9">
        <f t="shared" si="58"/>
        <v>40702</v>
      </c>
      <c r="B9" s="10">
        <v>4378621.3064694405</v>
      </c>
      <c r="C9" s="13">
        <f t="shared" si="55"/>
        <v>96</v>
      </c>
      <c r="D9" s="12">
        <f t="shared" si="42"/>
        <v>0.51074801439902706</v>
      </c>
      <c r="E9" s="9">
        <v>40718</v>
      </c>
      <c r="F9">
        <v>58.260869565217298</v>
      </c>
      <c r="G9">
        <f t="shared" si="20"/>
        <v>465.5</v>
      </c>
      <c r="H9" s="12">
        <f t="shared" si="21"/>
        <v>0.80722891566265009</v>
      </c>
      <c r="I9" s="10">
        <f t="shared" si="22"/>
        <v>133999.9999999998</v>
      </c>
      <c r="J9" s="11">
        <v>4543.25</v>
      </c>
      <c r="K9">
        <v>11.7487437185929</v>
      </c>
      <c r="L9">
        <f t="shared" si="43"/>
        <v>0.17169179229480255</v>
      </c>
      <c r="M9">
        <f t="shared" si="44"/>
        <v>40.999999999992724</v>
      </c>
      <c r="N9">
        <f t="shared" si="45"/>
        <v>30.999999999996362</v>
      </c>
      <c r="O9" s="12">
        <f t="shared" si="0"/>
        <v>0.16778273809512234</v>
      </c>
      <c r="P9" s="21">
        <f t="shared" si="46"/>
        <v>104922761.95793489</v>
      </c>
      <c r="Q9" s="11">
        <f t="shared" si="1"/>
        <v>4541.458333333333</v>
      </c>
      <c r="R9">
        <v>6.4774346793349098</v>
      </c>
      <c r="S9">
        <v>14792462801389.301</v>
      </c>
      <c r="T9" s="10">
        <f t="shared" si="59"/>
        <v>5639384478362.1992</v>
      </c>
      <c r="U9">
        <f t="shared" si="60"/>
        <v>-2.111638954869548</v>
      </c>
      <c r="V9" s="12">
        <f t="shared" si="23"/>
        <v>0.80870457586646283</v>
      </c>
      <c r="W9">
        <v>12.2539547146401</v>
      </c>
      <c r="X9">
        <v>4.375</v>
      </c>
      <c r="Y9">
        <f t="shared" si="24"/>
        <v>-2.7610868486375892</v>
      </c>
      <c r="Z9" s="12">
        <f t="shared" si="2"/>
        <v>0.13084112149532709</v>
      </c>
      <c r="AA9" s="21">
        <f t="shared" si="25"/>
        <v>62612.565464134997</v>
      </c>
      <c r="AB9">
        <v>14.5849056603773</v>
      </c>
      <c r="AC9">
        <v>570.63744396955997</v>
      </c>
      <c r="AD9">
        <f t="shared" si="26"/>
        <v>62.03773584905521</v>
      </c>
      <c r="AE9" s="12">
        <f t="shared" si="3"/>
        <v>0.32666350891195434</v>
      </c>
      <c r="AF9">
        <v>139.09798270893299</v>
      </c>
      <c r="AG9">
        <v>10.7766806821939</v>
      </c>
      <c r="AH9">
        <f t="shared" si="27"/>
        <v>-2274.6484149856083</v>
      </c>
      <c r="AI9" s="12">
        <f t="shared" si="28"/>
        <v>0.223570460254328</v>
      </c>
      <c r="AJ9" s="21">
        <f t="shared" si="29"/>
        <v>2678801.2180571361</v>
      </c>
      <c r="AK9">
        <v>7.4935424354243496</v>
      </c>
      <c r="AL9">
        <v>1895.1134965895001</v>
      </c>
      <c r="AM9">
        <f t="shared" si="4"/>
        <v>3.0442804428043075</v>
      </c>
      <c r="AN9" s="12">
        <f t="shared" si="5"/>
        <v>0.16006195459181768</v>
      </c>
      <c r="AO9" s="21">
        <f t="shared" si="49"/>
        <v>1837.5942496263212</v>
      </c>
      <c r="AP9">
        <v>17.834224598930401</v>
      </c>
      <c r="AQ9">
        <v>1.23076923076922E-2</v>
      </c>
      <c r="AR9">
        <f>(AP9-17)*24</f>
        <v>20.021390374329627</v>
      </c>
      <c r="AS9" s="12">
        <f t="shared" si="6"/>
        <v>0.62499999999999745</v>
      </c>
      <c r="AT9">
        <v>17.401595744680801</v>
      </c>
      <c r="AU9">
        <v>4.2774140752864103</v>
      </c>
      <c r="AV9">
        <f t="shared" si="31"/>
        <v>9.6382978723392227</v>
      </c>
      <c r="AW9" s="12">
        <f t="shared" si="7"/>
        <v>0.31037349326049574</v>
      </c>
      <c r="AX9" s="21">
        <f t="shared" si="32"/>
        <v>56995.642304276844</v>
      </c>
      <c r="AY9">
        <v>23.8501170960187</v>
      </c>
      <c r="AZ9">
        <v>5.9227166276346601</v>
      </c>
      <c r="BA9">
        <f t="shared" si="8"/>
        <v>21.245901639345618</v>
      </c>
      <c r="BB9" s="12">
        <f t="shared" si="9"/>
        <v>0.42113501631919115</v>
      </c>
      <c r="BC9" s="21">
        <f t="shared" si="33"/>
        <v>239617.76279547773</v>
      </c>
      <c r="BD9">
        <v>11.784879912663699</v>
      </c>
      <c r="BE9">
        <v>5.95207423580786</v>
      </c>
      <c r="BF9">
        <f t="shared" si="10"/>
        <v>147.23711790392878</v>
      </c>
      <c r="BG9" s="12">
        <f t="shared" si="11"/>
        <v>0.72814081760754379</v>
      </c>
      <c r="BH9">
        <v>23.1650552486187</v>
      </c>
      <c r="BI9">
        <v>0</v>
      </c>
      <c r="BJ9">
        <f t="shared" si="50"/>
        <v>0</v>
      </c>
      <c r="BK9">
        <f t="shared" si="12"/>
        <v>6.8950276243079998</v>
      </c>
      <c r="BL9" s="12">
        <f t="shared" si="13"/>
        <v>0</v>
      </c>
      <c r="BM9">
        <v>21.978260869565201</v>
      </c>
      <c r="BN9">
        <v>2197.3684210526299</v>
      </c>
      <c r="BO9">
        <f t="shared" si="14"/>
        <v>2.3582608695648446</v>
      </c>
      <c r="BP9" s="12">
        <f t="shared" si="15"/>
        <v>0.26299212598425198</v>
      </c>
      <c r="BQ9">
        <v>21.939130434782601</v>
      </c>
      <c r="BR9">
        <v>3184.21052631578</v>
      </c>
      <c r="BS9">
        <f t="shared" si="34"/>
        <v>1.4191304347824598</v>
      </c>
      <c r="BT9" s="12">
        <f t="shared" si="35"/>
        <v>0.46449136276391462</v>
      </c>
      <c r="BU9" s="21">
        <f t="shared" si="36"/>
        <v>8597368.4210526068</v>
      </c>
      <c r="BV9" s="13">
        <v>21.937069200513999</v>
      </c>
      <c r="BW9" s="13">
        <v>16.513882939366699</v>
      </c>
      <c r="BX9">
        <f t="shared" si="37"/>
        <v>1.3509871879751927</v>
      </c>
      <c r="BY9" s="12">
        <f t="shared" si="38"/>
        <v>0.93581524677531225</v>
      </c>
      <c r="BZ9" s="21">
        <f t="shared" si="39"/>
        <v>17842010.45018496</v>
      </c>
      <c r="CA9">
        <v>17.509433962264101</v>
      </c>
      <c r="CB9">
        <v>1.45049504950495</v>
      </c>
      <c r="CC9">
        <f t="shared" si="16"/>
        <v>1.3283018867925023</v>
      </c>
      <c r="CD9" s="12">
        <f t="shared" si="40"/>
        <v>0.9331210191082826</v>
      </c>
      <c r="CE9" s="21">
        <f t="shared" si="51"/>
        <v>145049504.950495</v>
      </c>
      <c r="CF9">
        <v>0.98267326732673199</v>
      </c>
      <c r="CG9" s="12">
        <f t="shared" si="17"/>
        <v>0.98267326732673199</v>
      </c>
      <c r="CH9" s="21">
        <f t="shared" si="41"/>
        <v>98267326.732673198</v>
      </c>
      <c r="CI9">
        <v>16.6851385390428</v>
      </c>
      <c r="CJ9" s="13">
        <v>7.1452860741273803</v>
      </c>
      <c r="CK9">
        <f t="shared" si="57"/>
        <v>6.7707808564248353</v>
      </c>
      <c r="CL9" s="12">
        <f t="shared" si="19"/>
        <v>0.76054004883420312</v>
      </c>
      <c r="CM9" s="21">
        <f t="shared" si="52"/>
        <v>5358964.5555955349</v>
      </c>
      <c r="CN9">
        <v>-8.2341165959626892</v>
      </c>
      <c r="CO9">
        <v>16.146935154351201</v>
      </c>
      <c r="CP9">
        <f t="shared" si="53"/>
        <v>2.7658834040373108</v>
      </c>
      <c r="CQ9" s="21">
        <f t="shared" si="54"/>
        <v>15645536.288298884</v>
      </c>
      <c r="CR9" s="29">
        <v>33385</v>
      </c>
      <c r="CS9" s="24">
        <v>3650</v>
      </c>
    </row>
    <row r="10" spans="1:97" x14ac:dyDescent="0.4">
      <c r="A10" s="9">
        <f t="shared" si="58"/>
        <v>40703</v>
      </c>
      <c r="B10" s="10">
        <v>4897445.42227263</v>
      </c>
      <c r="C10" s="13">
        <f t="shared" si="55"/>
        <v>120</v>
      </c>
      <c r="D10" s="12">
        <f t="shared" si="42"/>
        <v>0.57126669560520671</v>
      </c>
      <c r="E10" s="9">
        <v>40719</v>
      </c>
      <c r="F10">
        <v>48.695652173912997</v>
      </c>
      <c r="G10">
        <f t="shared" si="20"/>
        <v>489.5</v>
      </c>
      <c r="H10" s="12">
        <f t="shared" si="21"/>
        <v>0.67469879518072284</v>
      </c>
      <c r="I10" s="10">
        <f t="shared" si="22"/>
        <v>111999.9999999999</v>
      </c>
      <c r="J10" s="11">
        <v>4543.708333333333</v>
      </c>
      <c r="K10">
        <v>11.798994974874301</v>
      </c>
      <c r="L10">
        <f t="shared" si="43"/>
        <v>3.2420165342854452E-3</v>
      </c>
      <c r="M10">
        <f t="shared" si="44"/>
        <v>51.999999999985448</v>
      </c>
      <c r="N10">
        <f t="shared" si="45"/>
        <v>46.499999999989086</v>
      </c>
      <c r="O10" s="12">
        <f t="shared" si="0"/>
        <v>3.1682027649759564E-3</v>
      </c>
      <c r="P10" s="21">
        <f t="shared" si="46"/>
        <v>1981232.3265077721</v>
      </c>
      <c r="Q10" s="11">
        <f t="shared" si="1"/>
        <v>4541.5</v>
      </c>
      <c r="R10">
        <v>6.5011876484560496</v>
      </c>
      <c r="S10">
        <v>18501480305062.898</v>
      </c>
      <c r="T10" s="10">
        <f t="shared" si="47"/>
        <v>3709017503673.5977</v>
      </c>
      <c r="U10">
        <f t="shared" si="48"/>
        <v>-1.2565320665085054</v>
      </c>
      <c r="V10" s="12">
        <f t="shared" si="23"/>
        <v>0.79716355323668131</v>
      </c>
      <c r="W10">
        <v>12.387949751860999</v>
      </c>
      <c r="X10">
        <v>4.375</v>
      </c>
      <c r="Y10">
        <f t="shared" si="24"/>
        <v>0.45479404466398421</v>
      </c>
      <c r="Z10" s="12">
        <f t="shared" si="2"/>
        <v>0.13084112149532709</v>
      </c>
      <c r="AA10" s="21">
        <f t="shared" si="25"/>
        <v>62612.565464134997</v>
      </c>
      <c r="AB10">
        <v>14.6698113207547</v>
      </c>
      <c r="AC10">
        <v>197.670176170123</v>
      </c>
      <c r="AD10">
        <f t="shared" si="26"/>
        <v>64.075471698112807</v>
      </c>
      <c r="AE10" s="12">
        <f t="shared" si="3"/>
        <v>0.11315702121787344</v>
      </c>
      <c r="AF10">
        <v>139.78962536022999</v>
      </c>
      <c r="AG10">
        <v>10.5321963433646</v>
      </c>
      <c r="AH10">
        <f t="shared" si="27"/>
        <v>-2258.0489913544802</v>
      </c>
      <c r="AI10" s="12">
        <f t="shared" si="28"/>
        <v>0.21849844617420827</v>
      </c>
      <c r="AJ10" s="21">
        <f t="shared" si="29"/>
        <v>2434530.4138758788</v>
      </c>
      <c r="AK10">
        <v>7.5087638376383703</v>
      </c>
      <c r="AL10">
        <v>0</v>
      </c>
      <c r="AM10">
        <f t="shared" si="4"/>
        <v>3.409594095940804</v>
      </c>
      <c r="AN10" s="12">
        <f t="shared" si="5"/>
        <v>0</v>
      </c>
      <c r="AO10" s="21">
        <f t="shared" si="49"/>
        <v>1</v>
      </c>
      <c r="AP10">
        <v>18.122994652406401</v>
      </c>
      <c r="AQ10">
        <v>1.23076923076922E-2</v>
      </c>
      <c r="AR10">
        <f>(AP10-17)*24</f>
        <v>26.951871657753628</v>
      </c>
      <c r="AS10" s="12">
        <f t="shared" si="6"/>
        <v>0.62499999999999745</v>
      </c>
      <c r="AT10">
        <v>17.428191489361701</v>
      </c>
      <c r="AU10">
        <v>10.285597381342001</v>
      </c>
      <c r="AV10">
        <f t="shared" si="31"/>
        <v>10.276595744680833</v>
      </c>
      <c r="AW10" s="12">
        <f t="shared" si="7"/>
        <v>0.74633335312629656</v>
      </c>
      <c r="AX10" s="21">
        <f t="shared" si="32"/>
        <v>2205680.4531900445</v>
      </c>
      <c r="AY10">
        <v>24.103044496487101</v>
      </c>
      <c r="AZ10">
        <v>8.7395784543325501</v>
      </c>
      <c r="BA10">
        <f t="shared" si="8"/>
        <v>27.316159250587248</v>
      </c>
      <c r="BB10" s="12">
        <f t="shared" si="9"/>
        <v>0.62142809565043777</v>
      </c>
      <c r="BC10" s="21">
        <f t="shared" si="33"/>
        <v>1212156.5752131182</v>
      </c>
      <c r="BD10">
        <v>11.985016375545801</v>
      </c>
      <c r="BE10">
        <v>3.0505458515283799</v>
      </c>
      <c r="BF10">
        <f t="shared" si="10"/>
        <v>152.04039301309922</v>
      </c>
      <c r="BG10" s="12">
        <f t="shared" si="11"/>
        <v>0.37318535731933689</v>
      </c>
      <c r="BH10">
        <v>23.173342541436401</v>
      </c>
      <c r="BI10">
        <v>17.1428571428571</v>
      </c>
      <c r="BJ10">
        <f t="shared" si="50"/>
        <v>17.1428571428571</v>
      </c>
      <c r="BK10">
        <f t="shared" si="12"/>
        <v>7.0939226519328429</v>
      </c>
      <c r="BL10" s="12">
        <f t="shared" si="13"/>
        <v>0.57142857142856995</v>
      </c>
      <c r="BM10">
        <v>22</v>
      </c>
      <c r="BN10">
        <v>1723.6842105263099</v>
      </c>
      <c r="BO10">
        <f t="shared" si="14"/>
        <v>2.8800000000000239</v>
      </c>
      <c r="BP10" s="12">
        <f t="shared" si="15"/>
        <v>0.20629921259842468</v>
      </c>
      <c r="BQ10">
        <v>21.956521739130402</v>
      </c>
      <c r="BR10">
        <v>3223.6842105263099</v>
      </c>
      <c r="BS10">
        <f t="shared" si="34"/>
        <v>1.8365217391296653</v>
      </c>
      <c r="BT10" s="12">
        <f t="shared" si="35"/>
        <v>0.47024952015355048</v>
      </c>
      <c r="BU10" s="21">
        <f t="shared" si="36"/>
        <v>8703947.3684210368</v>
      </c>
      <c r="BV10" s="13">
        <v>21.942774251333699</v>
      </c>
      <c r="BW10" s="13">
        <v>14.941197087113901</v>
      </c>
      <c r="BX10">
        <f t="shared" si="37"/>
        <v>1.4879084076479785</v>
      </c>
      <c r="BY10" s="12">
        <f t="shared" si="38"/>
        <v>0.84669366317624406</v>
      </c>
      <c r="BZ10" s="21">
        <f t="shared" si="39"/>
        <v>11758301.519118443</v>
      </c>
      <c r="CA10">
        <v>17.675471698113199</v>
      </c>
      <c r="CB10">
        <v>1.43564356435643</v>
      </c>
      <c r="CC10">
        <f t="shared" si="16"/>
        <v>1.4943396226416006</v>
      </c>
      <c r="CD10" s="12">
        <f t="shared" si="40"/>
        <v>0.92356687898089074</v>
      </c>
      <c r="CE10" s="21">
        <f t="shared" si="51"/>
        <v>143564356.43564302</v>
      </c>
      <c r="CF10">
        <v>0.96782178217821802</v>
      </c>
      <c r="CG10" s="12">
        <f t="shared" si="17"/>
        <v>0.96782178217821802</v>
      </c>
      <c r="CH10" s="21">
        <f t="shared" si="41"/>
        <v>96782178.217821807</v>
      </c>
      <c r="CI10">
        <v>17.410579345088099</v>
      </c>
      <c r="CJ10" s="13">
        <v>7.1475800647714998</v>
      </c>
      <c r="CK10">
        <f t="shared" si="57"/>
        <v>24.181360201512007</v>
      </c>
      <c r="CL10" s="12">
        <f t="shared" si="19"/>
        <v>0.7607842198496676</v>
      </c>
      <c r="CM10" s="21">
        <f t="shared" si="52"/>
        <v>5360685.0485786246</v>
      </c>
      <c r="CN10">
        <v>-7.6044909001168302</v>
      </c>
      <c r="CO10">
        <v>16.884922246449701</v>
      </c>
      <c r="CP10">
        <f t="shared" si="53"/>
        <v>3.3955090998831707</v>
      </c>
      <c r="CQ10" s="21">
        <f t="shared" si="54"/>
        <v>18847820.507917244</v>
      </c>
      <c r="CR10" s="29">
        <v>33386</v>
      </c>
      <c r="CS10" s="24">
        <v>5020</v>
      </c>
    </row>
    <row r="11" spans="1:97" x14ac:dyDescent="0.4">
      <c r="A11" s="9">
        <f t="shared" si="58"/>
        <v>40704</v>
      </c>
      <c r="B11" s="10">
        <v>816308.09518511302</v>
      </c>
      <c r="C11" s="13">
        <f t="shared" si="55"/>
        <v>144</v>
      </c>
      <c r="D11" s="12">
        <f t="shared" si="42"/>
        <v>9.5218953540840617E-2</v>
      </c>
      <c r="E11" s="9">
        <v>40721</v>
      </c>
      <c r="F11">
        <v>56.956521739130402</v>
      </c>
      <c r="G11">
        <f t="shared" si="20"/>
        <v>537.5</v>
      </c>
      <c r="H11" s="12">
        <f t="shared" si="21"/>
        <v>0.78915662650602436</v>
      </c>
      <c r="I11" s="10">
        <f t="shared" si="22"/>
        <v>130999.99999999993</v>
      </c>
      <c r="J11" s="11">
        <v>4544.041666666667</v>
      </c>
      <c r="K11">
        <v>13.557788944723599</v>
      </c>
      <c r="L11">
        <f t="shared" si="43"/>
        <v>0.18513620735248684</v>
      </c>
      <c r="M11">
        <f t="shared" si="44"/>
        <v>60</v>
      </c>
      <c r="N11">
        <f t="shared" si="45"/>
        <v>55.999999999992724</v>
      </c>
      <c r="O11" s="12">
        <f t="shared" si="0"/>
        <v>0.1809210526313953</v>
      </c>
      <c r="P11" s="21">
        <f t="shared" si="46"/>
        <v>113138793.38207529</v>
      </c>
      <c r="Q11" s="11">
        <f t="shared" si="1"/>
        <v>4541.583333333333</v>
      </c>
      <c r="R11">
        <v>6.5724465558194698</v>
      </c>
      <c r="S11">
        <v>21278216464157.898</v>
      </c>
      <c r="T11" s="10">
        <f t="shared" si="47"/>
        <v>2776736159095</v>
      </c>
      <c r="U11">
        <f t="shared" si="48"/>
        <v>-0.11638954869377471</v>
      </c>
      <c r="V11" s="12">
        <f t="shared" si="23"/>
        <v>0.78918990861489025</v>
      </c>
      <c r="W11">
        <v>12.4699519230769</v>
      </c>
      <c r="X11">
        <v>4.0625</v>
      </c>
      <c r="Y11">
        <f t="shared" si="24"/>
        <v>2.4228461538456116</v>
      </c>
      <c r="Z11" s="12">
        <f t="shared" si="2"/>
        <v>0.12149532710280374</v>
      </c>
      <c r="AA11" s="21">
        <f t="shared" si="25"/>
        <v>45978.907876935926</v>
      </c>
      <c r="AB11">
        <v>14.924528301886699</v>
      </c>
      <c r="AC11">
        <v>214.127488793911</v>
      </c>
      <c r="AD11">
        <f t="shared" si="26"/>
        <v>70.188679245280781</v>
      </c>
      <c r="AE11" s="12">
        <f t="shared" si="3"/>
        <v>0.12257807051241354</v>
      </c>
      <c r="AF11">
        <v>140.59654178674299</v>
      </c>
      <c r="AG11">
        <v>9.3043416639108099</v>
      </c>
      <c r="AH11">
        <f t="shared" si="27"/>
        <v>-2238.6829971181683</v>
      </c>
      <c r="AI11" s="12">
        <f t="shared" si="28"/>
        <v>0.19302566434960758</v>
      </c>
      <c r="AJ11" s="21">
        <f t="shared" si="29"/>
        <v>1452478.7931298425</v>
      </c>
      <c r="AK11">
        <v>7.5442804428044203</v>
      </c>
      <c r="AL11">
        <v>0</v>
      </c>
      <c r="AM11">
        <f t="shared" si="4"/>
        <v>4.261992619926005</v>
      </c>
      <c r="AN11" s="12">
        <f t="shared" si="5"/>
        <v>0</v>
      </c>
      <c r="AO11" s="21">
        <f t="shared" si="49"/>
        <v>1</v>
      </c>
      <c r="AT11">
        <v>17.438829787233999</v>
      </c>
      <c r="AU11">
        <v>12.3657937806873</v>
      </c>
      <c r="AV11">
        <f t="shared" si="31"/>
        <v>10.531914893615976</v>
      </c>
      <c r="AW11" s="12">
        <f t="shared" si="7"/>
        <v>0.89727450863962499</v>
      </c>
      <c r="AX11" s="21">
        <f t="shared" si="32"/>
        <v>4751651.620623582</v>
      </c>
      <c r="AY11">
        <v>24.4894613583138</v>
      </c>
      <c r="AZ11">
        <v>3.5653395784543198</v>
      </c>
      <c r="BA11">
        <f t="shared" si="8"/>
        <v>36.590163934428034</v>
      </c>
      <c r="BB11" s="12">
        <f t="shared" si="9"/>
        <v>0.25351362152800883</v>
      </c>
      <c r="BC11" s="21">
        <f t="shared" si="33"/>
        <v>28913.5965738745</v>
      </c>
      <c r="BD11">
        <v>12.1521697598253</v>
      </c>
      <c r="BE11">
        <v>2.68842794759825</v>
      </c>
      <c r="BF11">
        <f t="shared" si="10"/>
        <v>156.0520742358072</v>
      </c>
      <c r="BG11" s="12">
        <f t="shared" si="11"/>
        <v>0.32888603977189251</v>
      </c>
      <c r="BH11">
        <v>23.192679558011001</v>
      </c>
      <c r="BI11">
        <v>41.428571428571402</v>
      </c>
      <c r="BJ11">
        <f t="shared" si="50"/>
        <v>24.285714285714302</v>
      </c>
      <c r="BK11">
        <f t="shared" si="12"/>
        <v>7.558011049723234</v>
      </c>
      <c r="BL11" s="12">
        <f t="shared" si="13"/>
        <v>0.80952380952381009</v>
      </c>
      <c r="BM11">
        <v>22.008695652173898</v>
      </c>
      <c r="BN11">
        <v>2986.8421052631502</v>
      </c>
      <c r="BO11">
        <f t="shared" si="14"/>
        <v>3.088695652173584</v>
      </c>
      <c r="BP11" s="12">
        <f t="shared" si="15"/>
        <v>0.35748031496062932</v>
      </c>
      <c r="BQ11">
        <v>22.004347826086899</v>
      </c>
      <c r="BR11">
        <v>2592.10526315789</v>
      </c>
      <c r="BS11">
        <f t="shared" si="34"/>
        <v>2.9843478260856102</v>
      </c>
      <c r="BT11" s="12">
        <f t="shared" si="35"/>
        <v>0.37811900191938547</v>
      </c>
      <c r="BU11" s="21">
        <f t="shared" si="36"/>
        <v>6998684.2105263034</v>
      </c>
      <c r="BV11" s="13">
        <v>21.942423770396001</v>
      </c>
      <c r="BW11" s="13">
        <v>13.8091436582421</v>
      </c>
      <c r="BX11">
        <f t="shared" si="37"/>
        <v>1.4794968651432328</v>
      </c>
      <c r="BY11" s="12">
        <f t="shared" si="38"/>
        <v>0.78254201193878348</v>
      </c>
      <c r="BZ11" s="21">
        <f t="shared" si="39"/>
        <v>8467727.9664580263</v>
      </c>
      <c r="CA11">
        <v>17.841509433962202</v>
      </c>
      <c r="CB11">
        <v>1.5544554455445501</v>
      </c>
      <c r="CC11">
        <f t="shared" si="16"/>
        <v>1.660377358490603</v>
      </c>
      <c r="CD11" s="12">
        <f t="shared" si="40"/>
        <v>1</v>
      </c>
      <c r="CE11" s="21">
        <f t="shared" si="51"/>
        <v>155445544.55445501</v>
      </c>
      <c r="CF11">
        <v>1.0717821782178201</v>
      </c>
      <c r="CG11" s="12">
        <f t="shared" si="17"/>
        <v>1.0717821782178201</v>
      </c>
      <c r="CH11" s="21">
        <f t="shared" si="41"/>
        <v>107178217.82178201</v>
      </c>
      <c r="CI11">
        <v>17.410579345088099</v>
      </c>
      <c r="CJ11" s="13">
        <v>0.50485786254048604</v>
      </c>
      <c r="CK11">
        <f t="shared" si="57"/>
        <v>24.181360201512007</v>
      </c>
      <c r="CL11" s="12">
        <f t="shared" si="19"/>
        <v>5.3736774069996135E-2</v>
      </c>
      <c r="CM11" s="21">
        <f t="shared" si="52"/>
        <v>378643.39690536453</v>
      </c>
      <c r="CN11">
        <v>-7.0319011352205703</v>
      </c>
      <c r="CO11">
        <v>17.697757673828701</v>
      </c>
      <c r="CP11">
        <f t="shared" si="53"/>
        <v>3.968098864779428</v>
      </c>
      <c r="CQ11" s="21">
        <f t="shared" si="54"/>
        <v>22926673.719522722</v>
      </c>
      <c r="CR11" s="29">
        <v>33388</v>
      </c>
      <c r="CS11" s="24">
        <v>1760</v>
      </c>
    </row>
    <row r="12" spans="1:97" x14ac:dyDescent="0.4">
      <c r="A12" s="9">
        <f t="shared" si="58"/>
        <v>40705</v>
      </c>
      <c r="B12" s="10">
        <v>1351136.0701886499</v>
      </c>
      <c r="C12" s="13">
        <f t="shared" si="55"/>
        <v>168</v>
      </c>
      <c r="D12" s="12">
        <f t="shared" si="42"/>
        <v>0.15760441854429041</v>
      </c>
      <c r="E12" s="9">
        <v>40723</v>
      </c>
      <c r="F12">
        <v>61.739130434782602</v>
      </c>
      <c r="G12">
        <f t="shared" si="20"/>
        <v>585.5</v>
      </c>
      <c r="H12" s="12">
        <f t="shared" si="21"/>
        <v>0.85542168674698871</v>
      </c>
      <c r="I12" s="10">
        <f t="shared" si="22"/>
        <v>141999.99999999997</v>
      </c>
      <c r="J12" s="11">
        <v>4544.25</v>
      </c>
      <c r="K12">
        <v>13.557788944723599</v>
      </c>
      <c r="L12">
        <f t="shared" si="43"/>
        <v>0</v>
      </c>
      <c r="M12">
        <f t="shared" ref="M12" si="61">(J12-J$4)*24</f>
        <v>64.999999999992724</v>
      </c>
      <c r="N12">
        <f t="shared" si="45"/>
        <v>62.499999999996362</v>
      </c>
      <c r="O12" s="12">
        <f t="shared" si="0"/>
        <v>0</v>
      </c>
      <c r="P12" s="21">
        <v>1</v>
      </c>
      <c r="Q12" s="11">
        <f t="shared" si="1"/>
        <v>4541.625</v>
      </c>
      <c r="R12">
        <v>6.6199524940617502</v>
      </c>
      <c r="S12">
        <v>23140485669937.301</v>
      </c>
      <c r="T12" s="10">
        <f t="shared" si="47"/>
        <v>1862269205779.4023</v>
      </c>
      <c r="U12">
        <f t="shared" si="48"/>
        <v>1.3087885985746439</v>
      </c>
      <c r="V12" s="12">
        <f t="shared" si="23"/>
        <v>0.77818674421789202</v>
      </c>
      <c r="W12">
        <v>12.5595145781637</v>
      </c>
      <c r="X12">
        <v>3.4375</v>
      </c>
      <c r="Y12">
        <f t="shared" si="24"/>
        <v>4.5723498759288077</v>
      </c>
      <c r="Z12" s="12">
        <f t="shared" si="2"/>
        <v>0.10280373831775701</v>
      </c>
      <c r="AA12" s="21">
        <f t="shared" si="25"/>
        <v>22922.617360789842</v>
      </c>
      <c r="AB12">
        <v>15.094339622641501</v>
      </c>
      <c r="AC12">
        <v>259.62941728343498</v>
      </c>
      <c r="AD12">
        <f t="shared" si="26"/>
        <v>74.264150943396018</v>
      </c>
      <c r="AE12" s="12">
        <f t="shared" si="3"/>
        <v>0.14862581725551302</v>
      </c>
      <c r="AF12">
        <v>141.17291066282399</v>
      </c>
      <c r="AG12">
        <v>7.8301129116076904</v>
      </c>
      <c r="AH12">
        <f t="shared" si="27"/>
        <v>-2224.8501440922241</v>
      </c>
      <c r="AI12" s="12">
        <f t="shared" si="28"/>
        <v>0.16244166447131911</v>
      </c>
      <c r="AJ12" s="21">
        <f t="shared" si="29"/>
        <v>707869.22147390817</v>
      </c>
      <c r="AK12">
        <v>7.5747232472324697</v>
      </c>
      <c r="AL12">
        <v>1342.5025159342399</v>
      </c>
      <c r="AM12">
        <f t="shared" si="4"/>
        <v>4.9926199261991897</v>
      </c>
      <c r="AN12" s="12">
        <f t="shared" si="5"/>
        <v>0.11338823618299267</v>
      </c>
      <c r="AO12" s="21">
        <f t="shared" si="49"/>
        <v>436.9339643533097</v>
      </c>
      <c r="AT12">
        <v>17.452127659574401</v>
      </c>
      <c r="AU12">
        <v>13.523731587561301</v>
      </c>
      <c r="AV12">
        <f t="shared" si="31"/>
        <v>10.85106382978563</v>
      </c>
      <c r="AW12" s="12">
        <f t="shared" si="7"/>
        <v>0.98129564752686638</v>
      </c>
      <c r="AX12" s="21">
        <f t="shared" si="32"/>
        <v>6899567.2741496237</v>
      </c>
      <c r="AY12">
        <v>24.791569086650998</v>
      </c>
      <c r="AZ12">
        <v>11.9854800936768</v>
      </c>
      <c r="BA12">
        <f t="shared" si="8"/>
        <v>43.840749414520786</v>
      </c>
      <c r="BB12" s="12">
        <f t="shared" si="9"/>
        <v>0.85222806900686199</v>
      </c>
      <c r="BC12" s="21">
        <f t="shared" si="33"/>
        <v>4519385.053105304</v>
      </c>
      <c r="BH12">
        <v>23.2147790055248</v>
      </c>
      <c r="BI12">
        <v>59.285714285714299</v>
      </c>
      <c r="BJ12">
        <f t="shared" si="50"/>
        <v>17.857142857142897</v>
      </c>
      <c r="BK12">
        <f t="shared" si="12"/>
        <v>8.0883977900544153</v>
      </c>
      <c r="BL12" s="12">
        <f t="shared" si="13"/>
        <v>0.59523809523809657</v>
      </c>
      <c r="BM12">
        <v>22.026086956521699</v>
      </c>
      <c r="BN12">
        <v>3263.1578947368398</v>
      </c>
      <c r="BO12">
        <f t="shared" si="14"/>
        <v>3.5060869565207895</v>
      </c>
      <c r="BP12" s="12">
        <f t="shared" si="15"/>
        <v>0.39055118110236225</v>
      </c>
      <c r="BQ12">
        <v>22.026086956521699</v>
      </c>
      <c r="BR12">
        <v>3421.0526315789398</v>
      </c>
      <c r="BS12">
        <f t="shared" si="34"/>
        <v>3.5060869565207895</v>
      </c>
      <c r="BT12" s="12">
        <f t="shared" si="35"/>
        <v>0.49904030710172681</v>
      </c>
      <c r="BU12" s="21">
        <f t="shared" si="36"/>
        <v>9236842.1052631382</v>
      </c>
      <c r="BV12" s="13">
        <v>21.948459830990299</v>
      </c>
      <c r="BW12" s="13">
        <v>13.3056193777016</v>
      </c>
      <c r="BX12">
        <f t="shared" si="37"/>
        <v>1.624362319406373</v>
      </c>
      <c r="BY12" s="12">
        <f t="shared" si="38"/>
        <v>0.75400809895287491</v>
      </c>
      <c r="BZ12" s="21">
        <f t="shared" si="39"/>
        <v>7253567.9101495231</v>
      </c>
      <c r="CA12">
        <v>18.173584905660299</v>
      </c>
      <c r="CB12">
        <v>1.3391089108910801</v>
      </c>
      <c r="CC12">
        <f t="shared" si="16"/>
        <v>1.9924528301887001</v>
      </c>
      <c r="CD12" s="12">
        <f t="shared" si="40"/>
        <v>0.86146496815286289</v>
      </c>
      <c r="CE12" s="21">
        <f t="shared" si="51"/>
        <v>133910891.08910801</v>
      </c>
      <c r="CF12">
        <v>0.93811881188118795</v>
      </c>
      <c r="CG12" s="12">
        <f t="shared" si="17"/>
        <v>0.93811881188118795</v>
      </c>
      <c r="CH12" s="21">
        <f t="shared" si="41"/>
        <v>93811881.188118801</v>
      </c>
      <c r="CI12">
        <v>17.652392947103198</v>
      </c>
      <c r="CJ12" s="13">
        <v>0.50566750629723201</v>
      </c>
      <c r="CK12">
        <f t="shared" si="57"/>
        <v>29.984886649874397</v>
      </c>
      <c r="CL12" s="12">
        <f t="shared" si="19"/>
        <v>5.3822952075453963E-2</v>
      </c>
      <c r="CM12" s="21">
        <f t="shared" si="52"/>
        <v>379250.62972292397</v>
      </c>
      <c r="CN12">
        <v>-6.4876700175562396</v>
      </c>
      <c r="CO12">
        <v>18.659540038861099</v>
      </c>
      <c r="CP12">
        <f t="shared" si="53"/>
        <v>4.5123299824437595</v>
      </c>
      <c r="CQ12" s="21">
        <f t="shared" si="54"/>
        <v>28582634.652884621</v>
      </c>
      <c r="CR12" s="29">
        <v>33392</v>
      </c>
      <c r="CS12" s="24">
        <v>1340</v>
      </c>
    </row>
    <row r="13" spans="1:97" x14ac:dyDescent="0.4">
      <c r="A13" s="9">
        <f t="shared" si="58"/>
        <v>40706</v>
      </c>
      <c r="B13" s="10">
        <v>3914760.2254587901</v>
      </c>
      <c r="C13" s="13">
        <f t="shared" si="55"/>
        <v>192</v>
      </c>
      <c r="D13" s="12">
        <f t="shared" si="42"/>
        <v>0.45664054323381559</v>
      </c>
      <c r="E13" s="9">
        <v>40727</v>
      </c>
      <c r="F13">
        <v>45.652173913043399</v>
      </c>
      <c r="G13">
        <f t="shared" si="20"/>
        <v>681.5</v>
      </c>
      <c r="H13" s="12">
        <f t="shared" si="21"/>
        <v>0.63253012048192714</v>
      </c>
      <c r="I13" s="10">
        <f t="shared" si="22"/>
        <v>104999.99999999981</v>
      </c>
      <c r="Q13" s="11">
        <f t="shared" si="1"/>
        <v>4541.75</v>
      </c>
      <c r="R13">
        <v>6.7624703087885898</v>
      </c>
      <c r="S13">
        <v>29763514416313.102</v>
      </c>
      <c r="T13" s="10">
        <f t="shared" si="47"/>
        <v>6623028746375.8008</v>
      </c>
      <c r="U13">
        <f t="shared" si="48"/>
        <v>3.5890736342040626</v>
      </c>
      <c r="V13" s="12">
        <f t="shared" si="23"/>
        <v>0.8131329907893533</v>
      </c>
      <c r="W13">
        <v>12.709212158808899</v>
      </c>
      <c r="X13">
        <v>1.25</v>
      </c>
      <c r="Y13">
        <f t="shared" si="24"/>
        <v>8.1650918114135891</v>
      </c>
      <c r="Z13" s="12">
        <f t="shared" si="2"/>
        <v>3.7383177570093455E-2</v>
      </c>
      <c r="AA13" s="21">
        <f t="shared" si="25"/>
        <v>338.61899309643377</v>
      </c>
      <c r="AB13">
        <v>15.2924528301886</v>
      </c>
      <c r="AC13">
        <v>789.92494527259396</v>
      </c>
      <c r="AD13">
        <f t="shared" si="26"/>
        <v>79.01886792452639</v>
      </c>
      <c r="AE13" s="12">
        <f t="shared" si="3"/>
        <v>0.45219544761173064</v>
      </c>
      <c r="AF13">
        <v>141.40345821325599</v>
      </c>
      <c r="AG13">
        <v>6.3551755090470996</v>
      </c>
      <c r="AH13">
        <f t="shared" si="27"/>
        <v>-2219.3170028818563</v>
      </c>
      <c r="AI13" s="12">
        <f t="shared" si="28"/>
        <v>0.13184296310294341</v>
      </c>
      <c r="AJ13" s="21">
        <f t="shared" si="29"/>
        <v>296677.34236559173</v>
      </c>
      <c r="AK13">
        <v>7.5950184501844999</v>
      </c>
      <c r="AL13">
        <v>0</v>
      </c>
      <c r="AM13">
        <f t="shared" si="4"/>
        <v>5.4797047970479156</v>
      </c>
      <c r="AN13" s="12">
        <f t="shared" si="5"/>
        <v>0</v>
      </c>
      <c r="AO13" s="21">
        <f t="shared" si="49"/>
        <v>1</v>
      </c>
      <c r="AT13">
        <v>17.476063829787201</v>
      </c>
      <c r="AU13">
        <v>13.761865793780601</v>
      </c>
      <c r="AV13">
        <f t="shared" si="31"/>
        <v>11.425531914892815</v>
      </c>
      <c r="AW13" s="12">
        <f t="shared" si="7"/>
        <v>0.99857490647823421</v>
      </c>
      <c r="AX13" s="21">
        <f t="shared" si="32"/>
        <v>7420077.1225653384</v>
      </c>
      <c r="BH13">
        <v>23.235497237569</v>
      </c>
      <c r="BI13">
        <v>73.571428571428498</v>
      </c>
      <c r="BJ13">
        <f t="shared" si="50"/>
        <v>14.285714285714199</v>
      </c>
      <c r="BK13">
        <f t="shared" si="12"/>
        <v>8.5856353591152015</v>
      </c>
      <c r="BL13" s="12">
        <f t="shared" si="13"/>
        <v>0.47619047619047333</v>
      </c>
      <c r="BM13">
        <v>22.0347826086956</v>
      </c>
      <c r="BN13">
        <v>4052.6315789473601</v>
      </c>
      <c r="BO13">
        <f t="shared" si="14"/>
        <v>3.7147826086944349</v>
      </c>
      <c r="BP13" s="12">
        <f t="shared" si="15"/>
        <v>0.4850393700787396</v>
      </c>
      <c r="BQ13">
        <v>22.086956521739101</v>
      </c>
      <c r="BR13">
        <v>5473.6842105263104</v>
      </c>
      <c r="BS13">
        <f t="shared" si="34"/>
        <v>4.9669565217384388</v>
      </c>
      <c r="BT13" s="12">
        <f t="shared" si="35"/>
        <v>0.79846449136276387</v>
      </c>
      <c r="BU13" s="21">
        <f t="shared" si="36"/>
        <v>14778947.368421039</v>
      </c>
      <c r="BV13" s="13">
        <v>21.957689162350501</v>
      </c>
      <c r="BW13" s="13">
        <v>13.1163596713267</v>
      </c>
      <c r="BX13">
        <f t="shared" si="37"/>
        <v>1.8458662720512393</v>
      </c>
      <c r="BY13" s="12">
        <f t="shared" si="38"/>
        <v>0.74328305509273951</v>
      </c>
      <c r="BZ13" s="21">
        <f t="shared" si="39"/>
        <v>6833254.623822106</v>
      </c>
      <c r="CA13">
        <v>18.339622641509401</v>
      </c>
      <c r="CB13">
        <v>1.36881188118811</v>
      </c>
      <c r="CC13">
        <f t="shared" si="16"/>
        <v>2.158490566037802</v>
      </c>
      <c r="CD13" s="12">
        <f t="shared" si="40"/>
        <v>0.88057324840764017</v>
      </c>
      <c r="CE13" s="21">
        <f t="shared" si="51"/>
        <v>136881188.11881101</v>
      </c>
      <c r="CF13">
        <v>0.908415841584158</v>
      </c>
      <c r="CG13" s="12">
        <f t="shared" si="17"/>
        <v>0.908415841584158</v>
      </c>
      <c r="CH13" s="21">
        <f t="shared" si="41"/>
        <v>90841584.158415794</v>
      </c>
      <c r="CI13">
        <v>17.652392947103198</v>
      </c>
      <c r="CJ13" s="13">
        <v>1.41638179201151</v>
      </c>
      <c r="CK13">
        <f t="shared" si="57"/>
        <v>29.984886649874397</v>
      </c>
      <c r="CL13" s="12">
        <f t="shared" si="19"/>
        <v>0.15075884521472643</v>
      </c>
      <c r="CM13" s="21">
        <f t="shared" si="52"/>
        <v>1062286.3440086325</v>
      </c>
      <c r="CN13">
        <v>-5.9144429796884799</v>
      </c>
      <c r="CO13">
        <v>19.918466546292802</v>
      </c>
      <c r="CP13">
        <f t="shared" si="53"/>
        <v>5.0855570203115192</v>
      </c>
      <c r="CQ13" s="21">
        <f t="shared" si="54"/>
        <v>37518714.662373081</v>
      </c>
      <c r="CR13" s="29">
        <v>33394</v>
      </c>
      <c r="CS13" s="24">
        <v>260</v>
      </c>
    </row>
    <row r="14" spans="1:97" x14ac:dyDescent="0.4">
      <c r="A14" s="9">
        <f t="shared" si="58"/>
        <v>40707</v>
      </c>
      <c r="B14" s="10">
        <v>4140199.5764592099</v>
      </c>
      <c r="C14" s="13">
        <f t="shared" si="55"/>
        <v>216</v>
      </c>
      <c r="D14" s="12">
        <f t="shared" si="42"/>
        <v>0.482937108483874</v>
      </c>
      <c r="E14" s="9">
        <v>40729</v>
      </c>
      <c r="F14">
        <v>47.391304347826001</v>
      </c>
      <c r="G14">
        <f t="shared" si="20"/>
        <v>729.5</v>
      </c>
      <c r="H14" s="12">
        <f t="shared" si="21"/>
        <v>0.65662650602409578</v>
      </c>
      <c r="I14" s="10">
        <f t="shared" si="22"/>
        <v>108999.9999999998</v>
      </c>
      <c r="Q14" s="11">
        <f t="shared" si="1"/>
        <v>4541.791666666667</v>
      </c>
      <c r="R14">
        <v>6.8099762470308702</v>
      </c>
      <c r="S14">
        <v>34230477347863.301</v>
      </c>
      <c r="T14" s="10">
        <f t="shared" si="47"/>
        <v>4466962931550.1992</v>
      </c>
      <c r="U14">
        <f t="shared" si="48"/>
        <v>5.8693586698335238</v>
      </c>
      <c r="V14" s="12">
        <f t="shared" si="23"/>
        <v>0.80228507394419424</v>
      </c>
      <c r="W14">
        <v>12.746840105459</v>
      </c>
      <c r="X14">
        <v>0.15624999999999201</v>
      </c>
      <c r="Y14">
        <f t="shared" si="24"/>
        <v>9.0681625310160143</v>
      </c>
      <c r="Z14" s="12">
        <f t="shared" si="2"/>
        <v>4.6728971962614434E-3</v>
      </c>
      <c r="AA14" s="21">
        <f t="shared" si="25"/>
        <v>5.8456979066649872E-2</v>
      </c>
      <c r="AB14">
        <v>15.391509433962201</v>
      </c>
      <c r="AC14">
        <v>354.79646617325102</v>
      </c>
      <c r="AD14">
        <f t="shared" si="26"/>
        <v>81.396226415092812</v>
      </c>
      <c r="AE14" s="12">
        <f t="shared" si="3"/>
        <v>0.2031045453019697</v>
      </c>
      <c r="AF14">
        <v>142.32564841498501</v>
      </c>
      <c r="AG14">
        <v>6.1111636037227797</v>
      </c>
      <c r="AH14">
        <f t="shared" si="27"/>
        <v>-2197.18443804036</v>
      </c>
      <c r="AI14" s="12">
        <f t="shared" si="28"/>
        <v>0.12678075001621514</v>
      </c>
      <c r="AJ14" s="21">
        <f t="shared" si="29"/>
        <v>252020.51044441972</v>
      </c>
      <c r="AK14">
        <v>7.6812730627306198</v>
      </c>
      <c r="AL14">
        <v>0</v>
      </c>
      <c r="AM14">
        <f t="shared" si="4"/>
        <v>7.5498154981547927</v>
      </c>
      <c r="AN14" s="12">
        <f t="shared" si="5"/>
        <v>0</v>
      </c>
      <c r="AO14" s="21">
        <f t="shared" si="49"/>
        <v>1</v>
      </c>
      <c r="AT14">
        <v>17.5398936170212</v>
      </c>
      <c r="AU14">
        <v>13.781505728314199</v>
      </c>
      <c r="AV14">
        <f t="shared" si="31"/>
        <v>12.957446808508791</v>
      </c>
      <c r="AW14" s="12">
        <f t="shared" si="7"/>
        <v>1</v>
      </c>
      <c r="AX14" s="21">
        <f t="shared" si="32"/>
        <v>7464299.4033094505</v>
      </c>
      <c r="BH14">
        <v>23.275552486187799</v>
      </c>
      <c r="BI14">
        <v>95.714285714285694</v>
      </c>
      <c r="BJ14">
        <f t="shared" si="50"/>
        <v>22.142857142857196</v>
      </c>
      <c r="BK14">
        <f t="shared" si="12"/>
        <v>9.5469613259663788</v>
      </c>
      <c r="BL14" s="12">
        <f t="shared" si="13"/>
        <v>0.7380952380952398</v>
      </c>
      <c r="BM14">
        <v>22.0739130434782</v>
      </c>
      <c r="BN14">
        <v>2592.10526315789</v>
      </c>
      <c r="BO14">
        <f t="shared" si="14"/>
        <v>4.6539130434768197</v>
      </c>
      <c r="BP14" s="12">
        <f t="shared" si="15"/>
        <v>0.31023622047244065</v>
      </c>
      <c r="BQ14">
        <v>22.104347826086901</v>
      </c>
      <c r="BR14">
        <v>3776.3157894736801</v>
      </c>
      <c r="BS14">
        <f t="shared" si="34"/>
        <v>5.3843478260856443</v>
      </c>
      <c r="BT14" s="12">
        <f t="shared" si="35"/>
        <v>0.55086372360844527</v>
      </c>
      <c r="BU14" s="21">
        <f t="shared" si="36"/>
        <v>10196052.631578935</v>
      </c>
      <c r="BV14" s="13">
        <v>21.9641535885353</v>
      </c>
      <c r="BW14" s="13">
        <v>13.9964562482962</v>
      </c>
      <c r="BX14">
        <f t="shared" si="37"/>
        <v>2.0010125004864108</v>
      </c>
      <c r="BY14" s="12">
        <f t="shared" si="38"/>
        <v>0.79315671584150615</v>
      </c>
      <c r="BZ14" s="21">
        <f t="shared" si="39"/>
        <v>8956688.9952378627</v>
      </c>
      <c r="CA14">
        <v>18.505660377358399</v>
      </c>
      <c r="CB14">
        <v>1.3019801980198</v>
      </c>
      <c r="CC14">
        <f t="shared" si="16"/>
        <v>2.3245283018868008</v>
      </c>
      <c r="CD14" s="12">
        <f t="shared" si="40"/>
        <v>0.83757961783439605</v>
      </c>
      <c r="CE14" s="21">
        <f t="shared" si="51"/>
        <v>130198019.80198</v>
      </c>
      <c r="CF14">
        <v>0.85643564356435598</v>
      </c>
      <c r="CG14" s="12">
        <f t="shared" si="17"/>
        <v>0.85643564356435598</v>
      </c>
      <c r="CH14" s="21">
        <f t="shared" si="41"/>
        <v>85643564.356435597</v>
      </c>
      <c r="CI14">
        <v>20.272040302267001</v>
      </c>
      <c r="CJ14" s="13">
        <v>1.42501799208348</v>
      </c>
      <c r="CK14">
        <f t="shared" si="57"/>
        <v>92.856423173805666</v>
      </c>
      <c r="CL14" s="12">
        <f t="shared" si="19"/>
        <v>0.15167807727294463</v>
      </c>
      <c r="CM14" s="21">
        <f t="shared" si="52"/>
        <v>1068763.49406261</v>
      </c>
      <c r="CN14">
        <v>-5.3979332362845698</v>
      </c>
      <c r="CO14">
        <v>21.475286929031501</v>
      </c>
      <c r="CP14">
        <f t="shared" si="53"/>
        <v>5.6020667637154311</v>
      </c>
      <c r="CQ14" s="21">
        <f t="shared" si="54"/>
        <v>51336638.63170439</v>
      </c>
      <c r="CR14" s="29">
        <v>33396</v>
      </c>
      <c r="CS14" s="24">
        <v>1180</v>
      </c>
    </row>
    <row r="15" spans="1:97" x14ac:dyDescent="0.4">
      <c r="A15" s="9">
        <f t="shared" si="58"/>
        <v>40708</v>
      </c>
      <c r="B15" s="10">
        <v>1277564.92146711</v>
      </c>
      <c r="C15" s="13">
        <f t="shared" si="55"/>
        <v>240</v>
      </c>
      <c r="D15" s="12">
        <f t="shared" si="42"/>
        <v>0.14902264919349895</v>
      </c>
      <c r="E15" s="9">
        <v>40737</v>
      </c>
      <c r="F15">
        <v>28.695652173913</v>
      </c>
      <c r="G15">
        <f t="shared" si="20"/>
        <v>921.5</v>
      </c>
      <c r="H15" s="12">
        <f t="shared" si="21"/>
        <v>0.39759036144578291</v>
      </c>
      <c r="I15" s="10">
        <f t="shared" si="22"/>
        <v>65999.999999999898</v>
      </c>
      <c r="Q15" s="11">
        <f t="shared" si="1"/>
        <v>4541.875</v>
      </c>
      <c r="R15">
        <v>6.8812351543942896</v>
      </c>
      <c r="S15">
        <v>44027567984192.797</v>
      </c>
      <c r="T15" s="10">
        <f t="shared" si="47"/>
        <v>9797090636329.4961</v>
      </c>
      <c r="U15">
        <f t="shared" si="48"/>
        <v>7.2945368171019211</v>
      </c>
      <c r="V15" s="12">
        <f t="shared" si="23"/>
        <v>0.82391724458995597</v>
      </c>
      <c r="W15">
        <v>13.364764267989999</v>
      </c>
      <c r="X15">
        <v>0</v>
      </c>
      <c r="Y15">
        <f t="shared" si="24"/>
        <v>23.898342431759986</v>
      </c>
      <c r="Z15" s="12">
        <f t="shared" si="2"/>
        <v>0</v>
      </c>
      <c r="AA15" s="21">
        <f t="shared" si="25"/>
        <v>1</v>
      </c>
      <c r="AB15">
        <v>15.5754716981132</v>
      </c>
      <c r="AC15">
        <v>611.61784634629305</v>
      </c>
      <c r="AD15">
        <f t="shared" si="26"/>
        <v>85.811320754716789</v>
      </c>
      <c r="AE15" s="12">
        <f t="shared" si="3"/>
        <v>0.35012289135956243</v>
      </c>
      <c r="AF15">
        <v>142.44092219020101</v>
      </c>
      <c r="AG15">
        <v>9.5540227712949406</v>
      </c>
      <c r="AH15">
        <f t="shared" si="27"/>
        <v>-2194.417867435176</v>
      </c>
      <c r="AI15" s="12">
        <f t="shared" si="28"/>
        <v>0.1982054893570343</v>
      </c>
      <c r="AJ15" s="21">
        <f t="shared" si="29"/>
        <v>1621918.6214242249</v>
      </c>
      <c r="AK15">
        <v>7.6914206642066398</v>
      </c>
      <c r="AL15">
        <v>1029.18483730291</v>
      </c>
      <c r="AM15">
        <f t="shared" si="4"/>
        <v>7.7933579335792729</v>
      </c>
      <c r="AN15" s="12">
        <f t="shared" si="5"/>
        <v>8.6925314495107764E-2</v>
      </c>
      <c r="AO15" s="21">
        <f t="shared" si="49"/>
        <v>144.37497906743462</v>
      </c>
      <c r="AT15">
        <v>17.5824468085106</v>
      </c>
      <c r="AU15">
        <v>13.1022913256955</v>
      </c>
      <c r="AV15">
        <f t="shared" si="31"/>
        <v>13.978723404254396</v>
      </c>
      <c r="AW15" s="12">
        <f t="shared" si="7"/>
        <v>0.950715515705715</v>
      </c>
      <c r="AX15" s="21">
        <f t="shared" si="32"/>
        <v>6046904.9421572881</v>
      </c>
      <c r="BH15">
        <v>23.297651933701601</v>
      </c>
      <c r="BI15">
        <v>106.428571428571</v>
      </c>
      <c r="BJ15">
        <f t="shared" si="50"/>
        <v>10.71428571428531</v>
      </c>
      <c r="BK15">
        <f t="shared" si="12"/>
        <v>10.077348066297645</v>
      </c>
      <c r="BL15" s="12">
        <f t="shared" si="13"/>
        <v>0.35714285714284366</v>
      </c>
      <c r="BM15">
        <v>22.078260869565199</v>
      </c>
      <c r="BN15">
        <v>6776.3157894736796</v>
      </c>
      <c r="BO15">
        <f t="shared" si="14"/>
        <v>4.7582608695647934</v>
      </c>
      <c r="BP15" s="12">
        <f t="shared" si="15"/>
        <v>0.81102362204724432</v>
      </c>
      <c r="BQ15">
        <v>22.1260869565217</v>
      </c>
      <c r="BR15">
        <v>2434.21052631578</v>
      </c>
      <c r="BS15">
        <f t="shared" si="34"/>
        <v>5.9060869565208236</v>
      </c>
      <c r="BT15" s="12">
        <f t="shared" si="35"/>
        <v>0.35508637236084351</v>
      </c>
      <c r="BU15" s="21">
        <f t="shared" si="36"/>
        <v>6572368.4210526058</v>
      </c>
      <c r="BV15" s="13">
        <v>21.970092293313598</v>
      </c>
      <c r="BW15" s="13">
        <v>13.178472681958</v>
      </c>
      <c r="BX15">
        <f t="shared" si="37"/>
        <v>2.1435414151655721</v>
      </c>
      <c r="BY15" s="12">
        <f t="shared" si="38"/>
        <v>0.74680289973408209</v>
      </c>
      <c r="BZ15" s="21">
        <f t="shared" si="39"/>
        <v>6969098.7481359579</v>
      </c>
      <c r="CA15">
        <v>18.671698113207501</v>
      </c>
      <c r="CB15">
        <v>1.31683168316831</v>
      </c>
      <c r="CC15">
        <f t="shared" si="16"/>
        <v>2.4905660377359027</v>
      </c>
      <c r="CD15" s="12">
        <f t="shared" si="40"/>
        <v>0.84713375796178148</v>
      </c>
      <c r="CE15" s="21">
        <f t="shared" si="51"/>
        <v>131683168.31683101</v>
      </c>
      <c r="CF15">
        <v>0.81930693069306904</v>
      </c>
      <c r="CG15" s="12">
        <f t="shared" si="17"/>
        <v>0.81930693069306904</v>
      </c>
      <c r="CH15" s="21">
        <f t="shared" si="41"/>
        <v>81930693.06930691</v>
      </c>
      <c r="CI15">
        <v>20.272040302267001</v>
      </c>
      <c r="CJ15" s="13">
        <v>0.13943864699532299</v>
      </c>
      <c r="CK15">
        <f t="shared" si="57"/>
        <v>92.856423173805666</v>
      </c>
      <c r="CL15" s="12">
        <f t="shared" si="19"/>
        <v>1.4841767606645391E-2</v>
      </c>
      <c r="CM15" s="21">
        <f t="shared" si="52"/>
        <v>104578.98524649223</v>
      </c>
      <c r="CN15">
        <v>-4.96639322241451</v>
      </c>
      <c r="CO15">
        <v>23.553296638072599</v>
      </c>
      <c r="CP15">
        <f t="shared" si="53"/>
        <v>6.03360677758549</v>
      </c>
      <c r="CQ15" s="21">
        <f t="shared" si="54"/>
        <v>75433418.583992407</v>
      </c>
      <c r="CR15" s="29">
        <v>33397</v>
      </c>
      <c r="CS15" s="24">
        <v>1480</v>
      </c>
    </row>
    <row r="16" spans="1:97" x14ac:dyDescent="0.4">
      <c r="A16" s="9">
        <f t="shared" si="58"/>
        <v>40709</v>
      </c>
      <c r="B16" s="10">
        <v>466329.62813218101</v>
      </c>
      <c r="C16" s="13">
        <f t="shared" si="55"/>
        <v>264</v>
      </c>
      <c r="D16" s="12">
        <f t="shared" si="42"/>
        <v>5.4395416948261825E-2</v>
      </c>
      <c r="E16" s="9">
        <v>40738</v>
      </c>
      <c r="F16">
        <v>21.3043478260869</v>
      </c>
      <c r="G16">
        <f t="shared" si="20"/>
        <v>945.5</v>
      </c>
      <c r="H16" s="12">
        <f t="shared" si="21"/>
        <v>0.29518072289156577</v>
      </c>
      <c r="I16" s="10">
        <f t="shared" si="22"/>
        <v>48999.999999999869</v>
      </c>
      <c r="Q16" s="11">
        <f t="shared" si="1"/>
        <v>4541.916666666667</v>
      </c>
      <c r="R16">
        <v>6.92874109263657</v>
      </c>
      <c r="S16">
        <v>66974723783993</v>
      </c>
      <c r="T16" s="10">
        <f t="shared" si="47"/>
        <v>22947155799800.203</v>
      </c>
      <c r="U16">
        <f t="shared" si="48"/>
        <v>8.7197149643703185</v>
      </c>
      <c r="V16" s="12">
        <f t="shared" si="23"/>
        <v>0.84735991155480761</v>
      </c>
      <c r="W16">
        <v>13.3782568238213</v>
      </c>
      <c r="X16">
        <v>3.7499999999999898</v>
      </c>
      <c r="Y16">
        <f t="shared" si="24"/>
        <v>24.222163771711195</v>
      </c>
      <c r="Z16" s="12">
        <f t="shared" si="2"/>
        <v>0.11214953271028007</v>
      </c>
      <c r="AA16" s="21">
        <f t="shared" si="25"/>
        <v>32939.465065253236</v>
      </c>
      <c r="AB16">
        <v>15.7169811320754</v>
      </c>
      <c r="AC16">
        <v>1664.0388825185</v>
      </c>
      <c r="AD16">
        <f t="shared" si="26"/>
        <v>89.207547169809601</v>
      </c>
      <c r="AE16" s="12">
        <f t="shared" si="3"/>
        <v>0.95258519410867348</v>
      </c>
      <c r="AF16">
        <v>143.01729106628201</v>
      </c>
      <c r="AG16">
        <v>9.0634005763688705</v>
      </c>
      <c r="AH16">
        <f t="shared" si="27"/>
        <v>-2180.5850144092319</v>
      </c>
      <c r="AI16" s="12">
        <f t="shared" si="28"/>
        <v>0.18802715771992395</v>
      </c>
      <c r="AJ16" s="21">
        <f t="shared" si="29"/>
        <v>1302065.4712416988</v>
      </c>
      <c r="AK16">
        <v>7.7066420664206596</v>
      </c>
      <c r="AL16">
        <v>0</v>
      </c>
      <c r="AM16">
        <f t="shared" si="4"/>
        <v>8.158671586715748</v>
      </c>
      <c r="AN16" s="12">
        <f t="shared" si="5"/>
        <v>0</v>
      </c>
      <c r="AO16" s="21">
        <f t="shared" si="49"/>
        <v>1</v>
      </c>
      <c r="AT16">
        <v>17.601063829787201</v>
      </c>
      <c r="AU16">
        <v>11.4926350245499</v>
      </c>
      <c r="AV16">
        <f t="shared" si="31"/>
        <v>14.425531914892815</v>
      </c>
      <c r="AW16" s="12">
        <f t="shared" si="7"/>
        <v>0.83391722581794536</v>
      </c>
      <c r="AX16" s="21">
        <f t="shared" si="32"/>
        <v>3502149.2887548334</v>
      </c>
      <c r="BH16">
        <v>23.318370165745801</v>
      </c>
      <c r="BI16">
        <v>115</v>
      </c>
      <c r="BJ16">
        <f t="shared" si="50"/>
        <v>8.5714285714289957</v>
      </c>
      <c r="BK16">
        <f t="shared" si="12"/>
        <v>10.574585635358432</v>
      </c>
      <c r="BL16" s="12">
        <f t="shared" si="13"/>
        <v>0.28571428571429985</v>
      </c>
      <c r="BM16">
        <v>22.104347826086901</v>
      </c>
      <c r="BN16">
        <v>4052.6315789473601</v>
      </c>
      <c r="BO16">
        <f t="shared" si="14"/>
        <v>5.3843478260856443</v>
      </c>
      <c r="BP16" s="12">
        <f t="shared" si="15"/>
        <v>0.4850393700787396</v>
      </c>
      <c r="BQ16">
        <v>22.134782608695598</v>
      </c>
      <c r="BR16">
        <v>3302.6315789473701</v>
      </c>
      <c r="BS16">
        <f t="shared" si="34"/>
        <v>6.1147826086943837</v>
      </c>
      <c r="BT16" s="12">
        <f t="shared" si="35"/>
        <v>0.48176583493282221</v>
      </c>
      <c r="BU16" s="21">
        <f t="shared" si="36"/>
        <v>8917105.2631578986</v>
      </c>
      <c r="BV16" s="13">
        <v>21.9762062385606</v>
      </c>
      <c r="BW16" s="13">
        <v>12.9265158300556</v>
      </c>
      <c r="BX16">
        <f t="shared" si="37"/>
        <v>2.2902761010936104</v>
      </c>
      <c r="BY16" s="12">
        <f t="shared" si="38"/>
        <v>0.73252490924538249</v>
      </c>
      <c r="BZ16" s="21">
        <f t="shared" si="39"/>
        <v>6430503.2011046689</v>
      </c>
      <c r="CA16">
        <v>18.8377358490566</v>
      </c>
      <c r="CB16">
        <v>1.1608910891089099</v>
      </c>
      <c r="CC16">
        <f t="shared" si="16"/>
        <v>2.656603773585001</v>
      </c>
      <c r="CD16" s="12">
        <f t="shared" si="40"/>
        <v>0.74681528662420527</v>
      </c>
      <c r="CE16" s="21">
        <f t="shared" si="51"/>
        <v>116089108.910891</v>
      </c>
      <c r="CF16">
        <v>0.76732673267326701</v>
      </c>
      <c r="CG16" s="12">
        <f t="shared" si="17"/>
        <v>0.76732673267326701</v>
      </c>
      <c r="CH16" s="21">
        <f t="shared" si="41"/>
        <v>76732673.267326698</v>
      </c>
      <c r="CI16">
        <v>20.5541561712846</v>
      </c>
      <c r="CJ16" s="13">
        <v>0.140383231378194</v>
      </c>
      <c r="CK16">
        <f t="shared" si="57"/>
        <v>99.627204030228029</v>
      </c>
      <c r="CL16" s="12">
        <f t="shared" si="19"/>
        <v>1.4942308613012932E-2</v>
      </c>
      <c r="CM16" s="21">
        <f t="shared" si="52"/>
        <v>105287.4235336455</v>
      </c>
      <c r="CN16">
        <v>-4.4497772668486801</v>
      </c>
      <c r="CO16">
        <v>25.1844655341534</v>
      </c>
      <c r="CP16">
        <f t="shared" si="53"/>
        <v>6.550222733151319</v>
      </c>
      <c r="CQ16" s="21">
        <f t="shared" si="54"/>
        <v>99709095.629217759</v>
      </c>
      <c r="CR16" s="29">
        <v>33399</v>
      </c>
      <c r="CS16" s="24">
        <v>13000</v>
      </c>
    </row>
    <row r="17" spans="1:98" x14ac:dyDescent="0.4">
      <c r="A17" s="9">
        <f t="shared" si="58"/>
        <v>40710</v>
      </c>
      <c r="B17" s="10">
        <v>180019.33328915399</v>
      </c>
      <c r="C17" s="13">
        <f t="shared" si="55"/>
        <v>288</v>
      </c>
      <c r="D17" s="12">
        <f t="shared" si="42"/>
        <v>2.0998508570499914E-2</v>
      </c>
      <c r="E17" s="9">
        <v>40739</v>
      </c>
      <c r="F17">
        <v>26.5217391304347</v>
      </c>
      <c r="G17">
        <f t="shared" si="20"/>
        <v>969.5</v>
      </c>
      <c r="H17" s="12">
        <f t="shared" si="21"/>
        <v>0.36746987951807147</v>
      </c>
      <c r="I17" s="10">
        <f t="shared" si="22"/>
        <v>60999.999999999811</v>
      </c>
      <c r="Q17" s="11">
        <f t="shared" si="1"/>
        <v>4541.958333333333</v>
      </c>
      <c r="R17">
        <v>6.9762470308788496</v>
      </c>
      <c r="S17">
        <v>91099117534963.797</v>
      </c>
      <c r="T17" s="10">
        <f t="shared" si="47"/>
        <v>24124393750970.797</v>
      </c>
      <c r="U17">
        <f t="shared" si="48"/>
        <v>9.8598574821850278</v>
      </c>
      <c r="V17" s="12">
        <f t="shared" si="23"/>
        <v>0.84873790896304946</v>
      </c>
      <c r="W17">
        <v>13.683700372208399</v>
      </c>
      <c r="X17">
        <v>3.125</v>
      </c>
      <c r="Y17">
        <f t="shared" si="24"/>
        <v>31.552808933001586</v>
      </c>
      <c r="Z17" s="12">
        <f t="shared" si="2"/>
        <v>9.3457943925233641E-2</v>
      </c>
      <c r="AA17" s="21">
        <f t="shared" si="25"/>
        <v>15409.717726935512</v>
      </c>
      <c r="AB17">
        <v>15.816037735848999</v>
      </c>
      <c r="AC17">
        <v>1746.8662045241299</v>
      </c>
      <c r="AD17">
        <f t="shared" si="26"/>
        <v>91.584905660375981</v>
      </c>
      <c r="AE17" s="12">
        <f t="shared" si="3"/>
        <v>1</v>
      </c>
      <c r="AF17">
        <v>143.82420749279501</v>
      </c>
      <c r="AG17">
        <v>6.8519393395379602</v>
      </c>
      <c r="AH17">
        <f t="shared" si="27"/>
        <v>-2161.21902017292</v>
      </c>
      <c r="AI17" s="12">
        <f t="shared" si="28"/>
        <v>0.14214870765414364</v>
      </c>
      <c r="AJ17" s="21">
        <f t="shared" si="29"/>
        <v>405953.11912296998</v>
      </c>
      <c r="AK17">
        <v>7.7523062730627297</v>
      </c>
      <c r="AL17">
        <v>0</v>
      </c>
      <c r="AM17">
        <f t="shared" si="4"/>
        <v>9.2546125461254292</v>
      </c>
      <c r="AN17" s="12">
        <f t="shared" si="5"/>
        <v>0</v>
      </c>
      <c r="AO17" s="21">
        <f t="shared" si="49"/>
        <v>1</v>
      </c>
      <c r="AT17">
        <v>17.614361702127599</v>
      </c>
      <c r="AU17">
        <v>9.6505728314238794</v>
      </c>
      <c r="AV17">
        <f t="shared" si="31"/>
        <v>14.744680851062384</v>
      </c>
      <c r="AW17" s="12">
        <f t="shared" si="7"/>
        <v>0.70025532925598333</v>
      </c>
      <c r="AX17" s="21">
        <f t="shared" si="32"/>
        <v>1691313.6181784656</v>
      </c>
      <c r="BH17">
        <v>23.33908839779</v>
      </c>
      <c r="BI17">
        <v>124.28571428571399</v>
      </c>
      <c r="BJ17">
        <f t="shared" si="50"/>
        <v>9.2857142857139934</v>
      </c>
      <c r="BK17">
        <f t="shared" si="12"/>
        <v>11.071823204419218</v>
      </c>
      <c r="BL17" s="12">
        <f t="shared" si="13"/>
        <v>0.30952380952379976</v>
      </c>
      <c r="BM17">
        <v>22.134782608695598</v>
      </c>
      <c r="BN17">
        <v>1802.6315789473599</v>
      </c>
      <c r="BO17">
        <f t="shared" si="14"/>
        <v>6.1147826086943837</v>
      </c>
      <c r="BP17" s="12">
        <f t="shared" si="15"/>
        <v>0.21574803149606217</v>
      </c>
      <c r="BQ17">
        <v>22.1608695652173</v>
      </c>
      <c r="BR17">
        <v>4328.9473684210498</v>
      </c>
      <c r="BS17">
        <f t="shared" si="34"/>
        <v>6.7408695652152346</v>
      </c>
      <c r="BT17" s="12">
        <f t="shared" si="35"/>
        <v>0.63147792706333994</v>
      </c>
      <c r="BU17" s="21">
        <f t="shared" si="36"/>
        <v>11688157.894736834</v>
      </c>
      <c r="BV17" s="13">
        <v>21.982164414502101</v>
      </c>
      <c r="BW17" s="13">
        <v>12.1714241208769</v>
      </c>
      <c r="BX17">
        <f t="shared" si="37"/>
        <v>2.4332723236896356</v>
      </c>
      <c r="BY17" s="12">
        <f t="shared" si="38"/>
        <v>0.68973507376225918</v>
      </c>
      <c r="BZ17" s="21">
        <f t="shared" si="39"/>
        <v>5004122.4932878017</v>
      </c>
      <c r="CA17">
        <v>19.003773584905598</v>
      </c>
      <c r="CB17">
        <v>1.03465346534653</v>
      </c>
      <c r="CC17">
        <f t="shared" si="16"/>
        <v>2.8226415094339998</v>
      </c>
      <c r="CD17" s="12">
        <f t="shared" si="40"/>
        <v>0.66560509554140013</v>
      </c>
      <c r="CE17" s="21">
        <f t="shared" si="51"/>
        <v>103465346.53465301</v>
      </c>
      <c r="CF17">
        <v>0.70792079207920799</v>
      </c>
      <c r="CG17" s="12">
        <f t="shared" si="17"/>
        <v>0.70792079207920799</v>
      </c>
      <c r="CH17" s="21">
        <f t="shared" si="41"/>
        <v>70792079.207920805</v>
      </c>
      <c r="CI17">
        <v>20.5541561712846</v>
      </c>
      <c r="CJ17" s="13">
        <v>1.8010975170924799</v>
      </c>
      <c r="CK17">
        <f t="shared" si="57"/>
        <v>99.627204030228029</v>
      </c>
      <c r="CL17" s="12">
        <f t="shared" si="19"/>
        <v>0.19170776080815835</v>
      </c>
      <c r="CM17" s="21">
        <f t="shared" si="52"/>
        <v>1350823.13781936</v>
      </c>
      <c r="CN17">
        <v>-3.8188770250598201</v>
      </c>
      <c r="CO17">
        <v>26.814634786357299</v>
      </c>
      <c r="CP17">
        <f t="shared" si="53"/>
        <v>7.1811229749401804</v>
      </c>
      <c r="CQ17" s="21">
        <f t="shared" si="54"/>
        <v>129488507.60503185</v>
      </c>
      <c r="CR17" s="29">
        <v>33424</v>
      </c>
      <c r="CS17" s="24">
        <v>5170</v>
      </c>
    </row>
    <row r="18" spans="1:98" x14ac:dyDescent="0.4">
      <c r="A18" s="9">
        <f t="shared" si="58"/>
        <v>40711</v>
      </c>
      <c r="B18" s="10">
        <v>58748.524085958699</v>
      </c>
      <c r="C18" s="13">
        <f t="shared" si="55"/>
        <v>312</v>
      </c>
      <c r="D18" s="12">
        <f t="shared" si="42"/>
        <v>6.8527716661505355E-3</v>
      </c>
      <c r="E18" s="9">
        <v>40743</v>
      </c>
      <c r="F18">
        <v>26.086956521739101</v>
      </c>
      <c r="G18">
        <f t="shared" si="20"/>
        <v>1065.5</v>
      </c>
      <c r="H18" s="12">
        <f t="shared" si="21"/>
        <v>0.36144578313253006</v>
      </c>
      <c r="I18" s="10">
        <f t="shared" si="22"/>
        <v>59999.999999999935</v>
      </c>
      <c r="Q18" s="11">
        <f t="shared" si="1"/>
        <v>4542</v>
      </c>
      <c r="R18">
        <v>7</v>
      </c>
      <c r="S18">
        <v>701703828670383</v>
      </c>
      <c r="T18" s="10">
        <f t="shared" si="47"/>
        <v>610604711135419.25</v>
      </c>
      <c r="U18">
        <f t="shared" si="48"/>
        <v>10.714964370546177</v>
      </c>
      <c r="V18" s="12">
        <f t="shared" si="23"/>
        <v>0.93773779416487646</v>
      </c>
      <c r="W18">
        <v>13.8551488833746</v>
      </c>
      <c r="X18">
        <v>2.5</v>
      </c>
      <c r="Y18">
        <f t="shared" si="24"/>
        <v>35.667573200990404</v>
      </c>
      <c r="Z18" s="12">
        <f t="shared" si="2"/>
        <v>7.476635514018691E-2</v>
      </c>
      <c r="AA18" s="21">
        <f t="shared" si="25"/>
        <v>6081.3914973996889</v>
      </c>
      <c r="AB18">
        <v>16.1839622641509</v>
      </c>
      <c r="AD18">
        <f t="shared" si="26"/>
        <v>100.41509433962159</v>
      </c>
      <c r="AE18" s="12"/>
      <c r="AF18">
        <v>144.285302593659</v>
      </c>
      <c r="AG18">
        <v>3.1643596163839902</v>
      </c>
      <c r="AH18">
        <f t="shared" si="27"/>
        <v>-2150.1527377521843</v>
      </c>
      <c r="AI18" s="12">
        <f t="shared" si="28"/>
        <v>6.5647053736508629E-2</v>
      </c>
      <c r="AJ18" s="21">
        <f t="shared" si="29"/>
        <v>16234.686214295898</v>
      </c>
      <c r="AK18">
        <v>7.7776752767527597</v>
      </c>
      <c r="AL18">
        <v>1142.79324611428</v>
      </c>
      <c r="AM18">
        <f t="shared" si="4"/>
        <v>9.86346863468615</v>
      </c>
      <c r="AN18" s="12">
        <f t="shared" si="5"/>
        <v>9.6520720788788497E-2</v>
      </c>
      <c r="AO18" s="21">
        <f t="shared" si="49"/>
        <v>223.34082966075968</v>
      </c>
      <c r="AT18">
        <v>17.619680851063801</v>
      </c>
      <c r="AU18">
        <v>7.3445171849427</v>
      </c>
      <c r="AV18">
        <f t="shared" si="31"/>
        <v>14.872340425531235</v>
      </c>
      <c r="AW18" s="12">
        <f t="shared" si="7"/>
        <v>0.53292559824238495</v>
      </c>
      <c r="AX18" s="21">
        <f t="shared" si="32"/>
        <v>542125.46422319207</v>
      </c>
      <c r="BH18">
        <v>23.3584254143646</v>
      </c>
      <c r="BI18">
        <v>133.57142857142799</v>
      </c>
      <c r="BJ18">
        <f t="shared" si="50"/>
        <v>9.2857142857139934</v>
      </c>
      <c r="BK18">
        <f t="shared" si="12"/>
        <v>11.535911602209609</v>
      </c>
      <c r="BL18" s="12">
        <f t="shared" si="13"/>
        <v>0.30952380952379976</v>
      </c>
      <c r="BM18">
        <v>22.147826086956499</v>
      </c>
      <c r="BN18">
        <v>1092.10526315789</v>
      </c>
      <c r="BO18">
        <f t="shared" si="14"/>
        <v>6.4278260869560029</v>
      </c>
      <c r="BP18" s="12">
        <f t="shared" si="15"/>
        <v>0.13070866141732237</v>
      </c>
      <c r="BQ18">
        <v>22.1826086956521</v>
      </c>
      <c r="BR18">
        <v>3500</v>
      </c>
      <c r="BS18">
        <f t="shared" si="34"/>
        <v>7.2626086956504139</v>
      </c>
      <c r="BT18" s="12">
        <f t="shared" si="35"/>
        <v>0.5105566218809986</v>
      </c>
      <c r="BU18" s="21">
        <f t="shared" si="36"/>
        <v>9450000</v>
      </c>
      <c r="BV18" s="13">
        <v>21.9917052844736</v>
      </c>
      <c r="BW18" s="13">
        <v>12.9884341290548</v>
      </c>
      <c r="BX18">
        <f t="shared" si="37"/>
        <v>2.662253203005605</v>
      </c>
      <c r="BY18" s="12">
        <f t="shared" si="38"/>
        <v>0.73603371989098265</v>
      </c>
      <c r="BZ18" s="21">
        <f t="shared" si="39"/>
        <v>6559822.6740140477</v>
      </c>
      <c r="CI18">
        <v>21.198992443324901</v>
      </c>
      <c r="CJ18" s="20">
        <v>1.8032565671104701</v>
      </c>
      <c r="CK18">
        <f t="shared" si="57"/>
        <v>115.10327455919526</v>
      </c>
      <c r="CL18" s="12">
        <f t="shared" si="19"/>
        <v>0.19193756882271268</v>
      </c>
      <c r="CM18" s="21">
        <f t="shared" si="52"/>
        <v>1352442.4253328524</v>
      </c>
      <c r="CN18">
        <v>-3.1313657009690301</v>
      </c>
      <c r="CO18">
        <v>28.072561649912199</v>
      </c>
      <c r="CP18">
        <f t="shared" si="53"/>
        <v>7.868634299030969</v>
      </c>
      <c r="CQ18" s="21">
        <f t="shared" si="54"/>
        <v>156743744.34088153</v>
      </c>
      <c r="CR18" s="29">
        <v>33428</v>
      </c>
      <c r="CS18" s="24">
        <v>1240</v>
      </c>
    </row>
    <row r="19" spans="1:98" x14ac:dyDescent="0.4">
      <c r="A19" s="9">
        <f t="shared" si="58"/>
        <v>40712</v>
      </c>
      <c r="B19" s="10">
        <v>616983.50907375396</v>
      </c>
      <c r="C19" s="13">
        <f t="shared" si="55"/>
        <v>336</v>
      </c>
      <c r="D19" s="12">
        <f t="shared" si="42"/>
        <v>7.1968567300115124E-2</v>
      </c>
      <c r="E19" s="9">
        <v>40745</v>
      </c>
      <c r="F19">
        <v>29.130434782608599</v>
      </c>
      <c r="G19">
        <f t="shared" si="20"/>
        <v>1113.5</v>
      </c>
      <c r="H19" s="12">
        <f t="shared" si="21"/>
        <v>0.40361445783132432</v>
      </c>
      <c r="I19" s="10">
        <f t="shared" si="22"/>
        <v>66999.999999999782</v>
      </c>
      <c r="Q19" s="11">
        <f t="shared" si="1"/>
        <v>4542.041666666667</v>
      </c>
      <c r="R19">
        <v>7.0475059382422698</v>
      </c>
      <c r="S19">
        <v>954458577073745</v>
      </c>
      <c r="T19" s="10">
        <f t="shared" si="47"/>
        <v>252754748403362</v>
      </c>
      <c r="U19">
        <f t="shared" si="48"/>
        <v>11.570071258907241</v>
      </c>
      <c r="V19" s="12">
        <f t="shared" si="23"/>
        <v>0.91344343176666776</v>
      </c>
      <c r="W19">
        <v>14.0341578784119</v>
      </c>
      <c r="X19">
        <v>1.5625</v>
      </c>
      <c r="Y19">
        <f t="shared" si="24"/>
        <v>39.963789081885608</v>
      </c>
      <c r="Z19" s="12">
        <f t="shared" si="2"/>
        <v>4.6728971962616821E-2</v>
      </c>
      <c r="AA19" s="21">
        <f t="shared" si="25"/>
        <v>858.03111061445679</v>
      </c>
      <c r="AB19">
        <v>16.382075471698101</v>
      </c>
      <c r="AC19">
        <v>1497.9868133013599</v>
      </c>
      <c r="AD19">
        <f t="shared" si="26"/>
        <v>105.16981132075443</v>
      </c>
      <c r="AE19" s="12">
        <f t="shared" ref="AE19:AE33" si="62">AC19/MAX(AC$4:AC$40)</f>
        <v>0.85752807480148829</v>
      </c>
      <c r="AF19">
        <v>144.40057636887599</v>
      </c>
      <c r="AG19">
        <v>1.4432843577266501</v>
      </c>
      <c r="AH19">
        <f t="shared" si="27"/>
        <v>-2147.3861671469763</v>
      </c>
      <c r="AI19" s="12">
        <f t="shared" si="28"/>
        <v>2.994203481114275E-2</v>
      </c>
      <c r="AJ19" s="21">
        <f t="shared" si="29"/>
        <v>616.43297574770725</v>
      </c>
      <c r="AK19">
        <v>7.79797047970479</v>
      </c>
      <c r="AL19">
        <v>0</v>
      </c>
      <c r="AM19">
        <f t="shared" si="4"/>
        <v>10.350553505534876</v>
      </c>
      <c r="AN19" s="12">
        <f t="shared" si="5"/>
        <v>0</v>
      </c>
      <c r="AO19" s="21">
        <f t="shared" si="49"/>
        <v>1</v>
      </c>
      <c r="AT19">
        <v>17.627659574468002</v>
      </c>
      <c r="AU19">
        <v>5.7315875613747904</v>
      </c>
      <c r="AV19">
        <f t="shared" si="31"/>
        <v>15.063829787232038</v>
      </c>
      <c r="AW19" s="12">
        <f t="shared" si="7"/>
        <v>0.4158897927676512</v>
      </c>
      <c r="AX19" s="21">
        <f t="shared" si="32"/>
        <v>192929.42696950628</v>
      </c>
      <c r="BH19">
        <v>23.42</v>
      </c>
      <c r="BI19">
        <v>0</v>
      </c>
      <c r="BJ19">
        <v>0</v>
      </c>
      <c r="BK19">
        <f t="shared" si="12"/>
        <v>13.013701657459251</v>
      </c>
      <c r="BL19" s="12">
        <f t="shared" si="13"/>
        <v>0</v>
      </c>
      <c r="BM19">
        <v>22.173913043478201</v>
      </c>
      <c r="BN19">
        <v>815.78947368420995</v>
      </c>
      <c r="BO19">
        <f t="shared" si="14"/>
        <v>7.0539130434768538</v>
      </c>
      <c r="BP19" s="12">
        <f t="shared" si="15"/>
        <v>9.7637795275590564E-2</v>
      </c>
      <c r="BQ19">
        <v>22.2</v>
      </c>
      <c r="BR19">
        <v>4842.1052631578896</v>
      </c>
      <c r="BS19">
        <f t="shared" si="34"/>
        <v>7.6800000000000068</v>
      </c>
      <c r="BT19" s="12">
        <f t="shared" si="35"/>
        <v>0.7063339731285988</v>
      </c>
      <c r="BU19" s="21">
        <f t="shared" si="36"/>
        <v>13073684.210526302</v>
      </c>
      <c r="BV19" s="13">
        <v>22.000486779080099</v>
      </c>
      <c r="BW19" s="13">
        <v>11.3526617080104</v>
      </c>
      <c r="BX19">
        <f t="shared" si="37"/>
        <v>2.8730090735615761</v>
      </c>
      <c r="BY19" s="12">
        <f t="shared" si="38"/>
        <v>0.64333712167187107</v>
      </c>
      <c r="BZ19" s="21">
        <f t="shared" si="39"/>
        <v>3743798.9540323839</v>
      </c>
      <c r="CI19">
        <v>21.198992443324901</v>
      </c>
      <c r="CJ19" s="20">
        <v>0.14254228139618499</v>
      </c>
      <c r="CK19">
        <f t="shared" si="57"/>
        <v>115.10327455919526</v>
      </c>
      <c r="CL19" s="12">
        <f t="shared" si="19"/>
        <v>1.5172116627567322E-2</v>
      </c>
      <c r="CM19" s="21">
        <f t="shared" si="52"/>
        <v>106906.71104713874</v>
      </c>
      <c r="CN19">
        <v>-2.4728502970816599</v>
      </c>
      <c r="CO19">
        <v>29.033344371067798</v>
      </c>
      <c r="CP19">
        <f t="shared" si="53"/>
        <v>8.5271497029183401</v>
      </c>
      <c r="CQ19" s="21">
        <f t="shared" si="54"/>
        <v>180337538.91570911</v>
      </c>
      <c r="CR19" s="29">
        <v>33457</v>
      </c>
      <c r="CS19" s="24">
        <v>3240</v>
      </c>
    </row>
    <row r="20" spans="1:98" x14ac:dyDescent="0.4">
      <c r="A20" s="9">
        <f t="shared" si="58"/>
        <v>40713</v>
      </c>
      <c r="B20" s="10">
        <v>41985.594204348301</v>
      </c>
      <c r="C20" s="13">
        <f t="shared" si="55"/>
        <v>360</v>
      </c>
      <c r="D20" s="12">
        <f t="shared" si="42"/>
        <v>4.8974454222726373E-3</v>
      </c>
      <c r="E20" s="9">
        <v>40748</v>
      </c>
      <c r="F20">
        <v>15.2173913043478</v>
      </c>
      <c r="G20">
        <f t="shared" si="20"/>
        <v>1185.5</v>
      </c>
      <c r="H20" s="12">
        <f t="shared" si="21"/>
        <v>0.21084337349397572</v>
      </c>
      <c r="I20" s="10">
        <f t="shared" si="22"/>
        <v>34999.999999999942</v>
      </c>
      <c r="Q20" s="11">
        <f t="shared" si="1"/>
        <v>4542.25</v>
      </c>
      <c r="R20">
        <v>7.2375296912114004</v>
      </c>
      <c r="S20">
        <v>1067431662821850</v>
      </c>
      <c r="T20" s="10">
        <f t="shared" si="47"/>
        <v>112973085748105</v>
      </c>
      <c r="U20">
        <f t="shared" si="48"/>
        <v>14.420427553444036</v>
      </c>
      <c r="V20" s="12">
        <f t="shared" si="23"/>
        <v>0.89126332602124936</v>
      </c>
      <c r="W20">
        <v>14.153787996277901</v>
      </c>
      <c r="X20">
        <v>0.15624999999999201</v>
      </c>
      <c r="Y20">
        <f t="shared" si="24"/>
        <v>42.834911910669618</v>
      </c>
      <c r="Z20" s="12">
        <f t="shared" si="2"/>
        <v>4.6728971962614434E-3</v>
      </c>
      <c r="AA20" s="21">
        <f t="shared" si="25"/>
        <v>5.8456979066649872E-2</v>
      </c>
      <c r="AB20">
        <v>16.396226415094301</v>
      </c>
      <c r="AC20">
        <v>553.22891691858604</v>
      </c>
      <c r="AD20">
        <f t="shared" si="26"/>
        <v>105.50943396226322</v>
      </c>
      <c r="AE20" s="12">
        <f t="shared" si="62"/>
        <v>0.31669793341115848</v>
      </c>
      <c r="AF20">
        <v>144.86167146974</v>
      </c>
      <c r="AG20">
        <v>0.70652430670383304</v>
      </c>
      <c r="AH20">
        <f t="shared" si="27"/>
        <v>-2136.3198847262402</v>
      </c>
      <c r="AI20" s="12">
        <f t="shared" si="28"/>
        <v>1.4657385617042253E-2</v>
      </c>
      <c r="AJ20" s="21">
        <f t="shared" si="29"/>
        <v>31.425524962973128</v>
      </c>
      <c r="AK20">
        <v>8.5539667896678893</v>
      </c>
      <c r="AL20">
        <v>0</v>
      </c>
      <c r="AM20">
        <f t="shared" si="4"/>
        <v>28.494464944649259</v>
      </c>
      <c r="AN20" s="12">
        <f t="shared" si="5"/>
        <v>0</v>
      </c>
      <c r="AO20" s="21">
        <f t="shared" si="49"/>
        <v>1</v>
      </c>
      <c r="AT20">
        <v>17.646276595744599</v>
      </c>
      <c r="AU20">
        <v>4.8142389525368099</v>
      </c>
      <c r="AV20">
        <f t="shared" si="31"/>
        <v>15.510638297870372</v>
      </c>
      <c r="AW20" s="12">
        <f t="shared" si="7"/>
        <v>0.3493260495219998</v>
      </c>
      <c r="AX20" s="21">
        <f t="shared" si="32"/>
        <v>93279.190843576245</v>
      </c>
      <c r="BM20">
        <v>22.2</v>
      </c>
      <c r="BN20">
        <v>5276.3157894736796</v>
      </c>
      <c r="BO20">
        <f t="shared" si="14"/>
        <v>7.6800000000000068</v>
      </c>
      <c r="BP20" s="12">
        <f t="shared" si="15"/>
        <v>0.63149606299212602</v>
      </c>
      <c r="BQ20">
        <v>22.221739130434699</v>
      </c>
      <c r="BR20">
        <v>3736.8421052631502</v>
      </c>
      <c r="BS20">
        <f t="shared" si="34"/>
        <v>8.2017391304327987</v>
      </c>
      <c r="BT20" s="12">
        <f t="shared" si="35"/>
        <v>0.54510556621880935</v>
      </c>
      <c r="BU20" s="21">
        <f t="shared" si="36"/>
        <v>10089473.684210505</v>
      </c>
      <c r="BV20" s="13">
        <v>22.0038163479886</v>
      </c>
      <c r="BW20" s="13">
        <v>12.107169282292899</v>
      </c>
      <c r="BX20">
        <f t="shared" si="37"/>
        <v>2.9529187273656134</v>
      </c>
      <c r="BY20" s="12">
        <f t="shared" si="38"/>
        <v>0.68609385516777277</v>
      </c>
      <c r="BZ20" s="21">
        <f t="shared" si="39"/>
        <v>4894965.9713457515</v>
      </c>
      <c r="CI20">
        <v>21.642317380352601</v>
      </c>
      <c r="CJ20" s="20">
        <v>0.144026628283555</v>
      </c>
      <c r="CK20">
        <f t="shared" si="57"/>
        <v>125.74307304786007</v>
      </c>
      <c r="CL20" s="12">
        <f t="shared" si="19"/>
        <v>1.5330109637573594E-2</v>
      </c>
      <c r="CM20" s="21">
        <f t="shared" si="52"/>
        <v>108019.97121266626</v>
      </c>
      <c r="CN20">
        <v>-1.64301467602167</v>
      </c>
      <c r="CO20">
        <v>29.9182791130659</v>
      </c>
      <c r="CP20">
        <f t="shared" si="53"/>
        <v>9.3569853239783285</v>
      </c>
      <c r="CQ20" s="21">
        <f t="shared" si="54"/>
        <v>204370201.05218309</v>
      </c>
      <c r="CR20" s="29">
        <v>33514</v>
      </c>
      <c r="CS20" s="24">
        <v>20</v>
      </c>
    </row>
    <row r="21" spans="1:98" x14ac:dyDescent="0.4">
      <c r="A21" s="9">
        <f t="shared" si="58"/>
        <v>40714</v>
      </c>
      <c r="B21" s="10">
        <v>212945.01471630199</v>
      </c>
      <c r="C21" s="13">
        <f t="shared" si="55"/>
        <v>384</v>
      </c>
      <c r="D21" s="12">
        <f t="shared" si="42"/>
        <v>2.4839152744684137E-2</v>
      </c>
      <c r="E21" s="9">
        <v>40754</v>
      </c>
      <c r="F21">
        <v>24.347826086956498</v>
      </c>
      <c r="G21">
        <f t="shared" si="20"/>
        <v>1329.5</v>
      </c>
      <c r="H21" s="12">
        <f t="shared" si="21"/>
        <v>0.33734939759036142</v>
      </c>
      <c r="I21" s="10">
        <f t="shared" si="22"/>
        <v>55999.999999999949</v>
      </c>
      <c r="Q21" s="11">
        <f t="shared" si="1"/>
        <v>4542.416666666667</v>
      </c>
      <c r="R21">
        <v>7.4038004750593798</v>
      </c>
      <c r="S21">
        <v>1623776739188710</v>
      </c>
      <c r="T21" s="10">
        <f t="shared" si="47"/>
        <v>556345076366860</v>
      </c>
      <c r="U21">
        <f t="shared" si="48"/>
        <v>18.695961995249355</v>
      </c>
      <c r="V21" s="12">
        <f t="shared" si="23"/>
        <v>0.93517454964543256</v>
      </c>
      <c r="W21">
        <v>14.5929939516129</v>
      </c>
      <c r="X21">
        <v>0.15624999999999201</v>
      </c>
      <c r="Y21">
        <f t="shared" si="24"/>
        <v>53.375854838709614</v>
      </c>
      <c r="Z21" s="12">
        <f t="shared" si="2"/>
        <v>4.6728971962614434E-3</v>
      </c>
      <c r="AA21" s="21">
        <f t="shared" si="25"/>
        <v>5.8456979066649872E-2</v>
      </c>
      <c r="AB21">
        <v>16.778301886792399</v>
      </c>
      <c r="AC21">
        <v>441.174554362555</v>
      </c>
      <c r="AD21">
        <f t="shared" si="26"/>
        <v>114.67924528301756</v>
      </c>
      <c r="AE21" s="12">
        <f t="shared" si="62"/>
        <v>0.25255200038788145</v>
      </c>
      <c r="AF21">
        <v>145.092219020172</v>
      </c>
      <c r="AG21">
        <v>3.1660131336514299</v>
      </c>
      <c r="AH21">
        <f t="shared" si="27"/>
        <v>-2130.7867435158723</v>
      </c>
      <c r="AI21" s="12">
        <f t="shared" si="28"/>
        <v>6.5681357213378908E-2</v>
      </c>
      <c r="AJ21" s="21">
        <f t="shared" si="29"/>
        <v>16270.062714326432</v>
      </c>
      <c r="AK21">
        <v>8.5691881918819099</v>
      </c>
      <c r="AL21">
        <v>1194.23012411942</v>
      </c>
      <c r="AM21">
        <f t="shared" si="4"/>
        <v>28.859778597785755</v>
      </c>
      <c r="AN21" s="12">
        <f t="shared" si="5"/>
        <v>0.10086509765403698</v>
      </c>
      <c r="AO21" s="21">
        <f t="shared" si="49"/>
        <v>268.30964140473861</v>
      </c>
      <c r="AT21">
        <v>17.6755319148936</v>
      </c>
      <c r="AU21">
        <v>4.5924713584287797</v>
      </c>
      <c r="AV21">
        <f t="shared" si="31"/>
        <v>16.212765957446408</v>
      </c>
      <c r="AW21" s="12">
        <f t="shared" si="7"/>
        <v>0.33323436850543225</v>
      </c>
      <c r="AX21" s="21">
        <f t="shared" si="32"/>
        <v>76638.411593949364</v>
      </c>
      <c r="BM21">
        <v>22.204347826086899</v>
      </c>
      <c r="BN21">
        <v>6697.3684210526299</v>
      </c>
      <c r="BO21">
        <f t="shared" si="14"/>
        <v>7.7843478260855932</v>
      </c>
      <c r="BP21" s="12">
        <f t="shared" si="15"/>
        <v>0.80157480314960683</v>
      </c>
      <c r="BQ21">
        <v>22.247826086956501</v>
      </c>
      <c r="BR21">
        <v>4013.1578947368398</v>
      </c>
      <c r="BS21">
        <f t="shared" si="34"/>
        <v>8.827826086956037</v>
      </c>
      <c r="BT21" s="12">
        <f t="shared" si="35"/>
        <v>0.58541266794625746</v>
      </c>
      <c r="BU21" s="21">
        <f t="shared" si="36"/>
        <v>10835526.315789467</v>
      </c>
      <c r="BV21" s="13">
        <v>22.010066591378099</v>
      </c>
      <c r="BW21" s="13">
        <v>12.295455430507401</v>
      </c>
      <c r="BX21">
        <f t="shared" si="37"/>
        <v>3.1029245687135756</v>
      </c>
      <c r="BY21" s="12">
        <f t="shared" si="38"/>
        <v>0.69676372904920192</v>
      </c>
      <c r="BZ21" s="21">
        <f t="shared" si="39"/>
        <v>5220050.4268019395</v>
      </c>
      <c r="CI21">
        <v>21.642317380352601</v>
      </c>
      <c r="CJ21">
        <v>0.51902662828355794</v>
      </c>
      <c r="CK21">
        <f t="shared" si="57"/>
        <v>125.74307304786007</v>
      </c>
      <c r="CL21" s="12">
        <f t="shared" si="19"/>
        <v>5.5244889165509972E-2</v>
      </c>
      <c r="CM21" s="21">
        <f t="shared" si="52"/>
        <v>389269.97121266846</v>
      </c>
      <c r="CN21">
        <v>-0.89910469395278003</v>
      </c>
      <c r="CO21">
        <v>30.655266561287501</v>
      </c>
      <c r="CP21">
        <f t="shared" si="53"/>
        <v>10.100895306047221</v>
      </c>
      <c r="CQ21" s="21">
        <f t="shared" si="54"/>
        <v>226179342.01071578</v>
      </c>
    </row>
    <row r="22" spans="1:98" x14ac:dyDescent="0.4">
      <c r="A22" s="9">
        <f t="shared" si="58"/>
        <v>40715</v>
      </c>
      <c r="B22" s="10">
        <v>121648.394902584</v>
      </c>
      <c r="C22" s="13">
        <f t="shared" si="55"/>
        <v>408</v>
      </c>
      <c r="D22" s="12">
        <f t="shared" si="42"/>
        <v>1.4189780710088713E-2</v>
      </c>
      <c r="E22" s="9">
        <v>40756</v>
      </c>
      <c r="F22">
        <v>45.2173913043478</v>
      </c>
      <c r="G22">
        <f t="shared" si="20"/>
        <v>1377.5</v>
      </c>
      <c r="H22" s="12">
        <f t="shared" si="21"/>
        <v>0.62650602409638578</v>
      </c>
      <c r="I22" s="10">
        <f t="shared" si="22"/>
        <v>103999.99999999994</v>
      </c>
      <c r="Q22" s="11">
        <f t="shared" si="1"/>
        <v>4542.708333333333</v>
      </c>
      <c r="R22">
        <v>7.7125890736342004</v>
      </c>
      <c r="S22">
        <v>1765889656572830</v>
      </c>
      <c r="T22" s="10">
        <f t="shared" si="47"/>
        <v>142112917384120</v>
      </c>
      <c r="U22">
        <f t="shared" si="48"/>
        <v>24.396674584322945</v>
      </c>
      <c r="V22" s="12">
        <f t="shared" si="23"/>
        <v>0.89758383986742829</v>
      </c>
      <c r="W22">
        <v>14.5958436724565</v>
      </c>
      <c r="X22">
        <v>12.5</v>
      </c>
      <c r="Y22">
        <f t="shared" si="24"/>
        <v>53.444248138955999</v>
      </c>
      <c r="Z22" s="12">
        <f t="shared" si="2"/>
        <v>0.37383177570093457</v>
      </c>
      <c r="AA22" s="21">
        <f t="shared" si="25"/>
        <v>4970247.1006986853</v>
      </c>
      <c r="AB22">
        <v>17.231132075471699</v>
      </c>
      <c r="AC22">
        <v>378.81137287605497</v>
      </c>
      <c r="AD22">
        <f t="shared" si="26"/>
        <v>125.54716981132077</v>
      </c>
      <c r="AE22" s="12">
        <f t="shared" si="62"/>
        <v>0.21685196719416089</v>
      </c>
      <c r="AF22">
        <v>145.32276657060501</v>
      </c>
      <c r="AG22">
        <v>4.3959937638777404</v>
      </c>
      <c r="AH22">
        <f t="shared" si="27"/>
        <v>-2125.2536023054799</v>
      </c>
      <c r="AI22" s="12">
        <f t="shared" si="28"/>
        <v>9.1198243508243418E-2</v>
      </c>
      <c r="AJ22" s="21">
        <f t="shared" si="29"/>
        <v>63873.989374947931</v>
      </c>
      <c r="AK22">
        <v>8.5945571955719497</v>
      </c>
      <c r="AL22">
        <v>0</v>
      </c>
      <c r="AM22">
        <f t="shared" si="4"/>
        <v>29.468634686346711</v>
      </c>
      <c r="AN22" s="12">
        <f t="shared" si="5"/>
        <v>0</v>
      </c>
      <c r="AO22" s="21">
        <f t="shared" si="49"/>
        <v>1</v>
      </c>
      <c r="AT22">
        <v>17.731382978723399</v>
      </c>
      <c r="AU22">
        <v>4.6096563011456402</v>
      </c>
      <c r="AV22">
        <f t="shared" si="31"/>
        <v>17.553191489361581</v>
      </c>
      <c r="AW22" s="12">
        <f t="shared" si="7"/>
        <v>0.33448132533697456</v>
      </c>
      <c r="AX22" s="21">
        <f t="shared" si="32"/>
        <v>77840.425032696003</v>
      </c>
      <c r="BM22">
        <v>22.230434782608601</v>
      </c>
      <c r="BN22">
        <v>4131.5789473684199</v>
      </c>
      <c r="BO22">
        <f t="shared" si="14"/>
        <v>8.4104347826064441</v>
      </c>
      <c r="BP22" s="12">
        <f t="shared" si="15"/>
        <v>0.49448818897637825</v>
      </c>
      <c r="BQ22">
        <v>22.2695652173913</v>
      </c>
      <c r="BR22">
        <v>4486.8421052631502</v>
      </c>
      <c r="BS22">
        <f t="shared" si="34"/>
        <v>9.3495652173912163</v>
      </c>
      <c r="BT22" s="12">
        <f t="shared" si="35"/>
        <v>0.65451055662188051</v>
      </c>
      <c r="BU22" s="21">
        <f t="shared" si="36"/>
        <v>12114473.684210505</v>
      </c>
      <c r="BV22" s="13">
        <v>22.010300245336602</v>
      </c>
      <c r="BW22" s="13">
        <v>13.0501577164219</v>
      </c>
      <c r="BX22">
        <f t="shared" si="37"/>
        <v>3.1085322637176489</v>
      </c>
      <c r="BY22" s="12">
        <f t="shared" si="38"/>
        <v>0.73953149654084027</v>
      </c>
      <c r="BZ22" s="21">
        <f t="shared" si="39"/>
        <v>6690693.2163164588</v>
      </c>
      <c r="CI22">
        <v>22.206549118387901</v>
      </c>
      <c r="CJ22">
        <v>0.52091579704930102</v>
      </c>
      <c r="CK22">
        <f t="shared" si="57"/>
        <v>139.28463476070726</v>
      </c>
      <c r="CL22" s="12">
        <f t="shared" si="19"/>
        <v>5.5445971178245165E-2</v>
      </c>
      <c r="CM22" s="21">
        <f t="shared" si="52"/>
        <v>390686.84778697573</v>
      </c>
      <c r="CN22">
        <v>4.4696576844497501E-2</v>
      </c>
      <c r="CO22">
        <v>31.316156119382399</v>
      </c>
      <c r="CP22">
        <f t="shared" si="53"/>
        <v>11.044696576844498</v>
      </c>
      <c r="CQ22" s="21">
        <f t="shared" si="54"/>
        <v>247201008.86174214</v>
      </c>
    </row>
    <row r="23" spans="1:98" x14ac:dyDescent="0.4">
      <c r="A23" s="9">
        <f t="shared" si="58"/>
        <v>40716</v>
      </c>
      <c r="B23" s="10">
        <v>62131.676151323998</v>
      </c>
      <c r="C23" s="13">
        <f t="shared" si="55"/>
        <v>432</v>
      </c>
      <c r="D23" s="12">
        <f t="shared" si="42"/>
        <v>7.2474023224354846E-3</v>
      </c>
      <c r="E23" s="9">
        <v>40762</v>
      </c>
      <c r="F23">
        <v>27.826086956521699</v>
      </c>
      <c r="G23">
        <f t="shared" si="20"/>
        <v>1521.5</v>
      </c>
      <c r="H23" s="12">
        <f t="shared" si="21"/>
        <v>0.38554216867469859</v>
      </c>
      <c r="I23" s="10">
        <f t="shared" si="22"/>
        <v>63999.999999999905</v>
      </c>
      <c r="Q23" s="11">
        <f t="shared" si="1"/>
        <v>4542.916666666667</v>
      </c>
      <c r="R23">
        <v>7.9026128266033204</v>
      </c>
      <c r="S23">
        <v>1920440294488350</v>
      </c>
      <c r="T23" s="10">
        <f t="shared" si="47"/>
        <v>154550637915520</v>
      </c>
      <c r="U23">
        <f t="shared" si="48"/>
        <v>30.382422802850243</v>
      </c>
      <c r="V23" s="12">
        <f t="shared" si="23"/>
        <v>0.89989475139612818</v>
      </c>
      <c r="W23">
        <v>14.640276054590499</v>
      </c>
      <c r="X23">
        <v>13.125</v>
      </c>
      <c r="Y23">
        <f t="shared" si="24"/>
        <v>54.510625310171989</v>
      </c>
      <c r="Z23" s="12">
        <f t="shared" si="2"/>
        <v>0.3925233644859813</v>
      </c>
      <c r="AA23" s="21">
        <f t="shared" si="25"/>
        <v>6090693.2416647738</v>
      </c>
      <c r="AB23">
        <v>17.415094339622598</v>
      </c>
      <c r="AC23">
        <v>420.16313978942901</v>
      </c>
      <c r="AD23">
        <f t="shared" si="26"/>
        <v>129.96226415094236</v>
      </c>
      <c r="AE23" s="12">
        <f t="shared" si="62"/>
        <v>0.2405239386401016</v>
      </c>
      <c r="AF23">
        <v>145.783861671469</v>
      </c>
      <c r="AG23">
        <v>4.3969386308877096</v>
      </c>
      <c r="AH23">
        <f t="shared" si="27"/>
        <v>-2114.1873198847443</v>
      </c>
      <c r="AI23" s="12">
        <f t="shared" si="28"/>
        <v>9.1217845495026512E-2</v>
      </c>
      <c r="AJ23" s="21">
        <f t="shared" si="29"/>
        <v>63931.212848233452</v>
      </c>
      <c r="AK23">
        <v>8.6300738007379998</v>
      </c>
      <c r="AL23">
        <v>0</v>
      </c>
      <c r="AM23">
        <f t="shared" si="4"/>
        <v>30.321033210331912</v>
      </c>
      <c r="AN23" s="12">
        <f t="shared" si="5"/>
        <v>0</v>
      </c>
      <c r="AO23" s="21">
        <f t="shared" si="49"/>
        <v>1</v>
      </c>
      <c r="AT23">
        <v>17.776595744680801</v>
      </c>
      <c r="AU23">
        <v>4.3927986906710199</v>
      </c>
      <c r="AV23">
        <f t="shared" si="31"/>
        <v>18.638297872339223</v>
      </c>
      <c r="AW23" s="12">
        <f t="shared" si="7"/>
        <v>0.3187459177008492</v>
      </c>
      <c r="AX23" s="21">
        <f t="shared" si="32"/>
        <v>63680.776199267391</v>
      </c>
      <c r="BM23">
        <v>22.313043478260798</v>
      </c>
      <c r="BN23">
        <v>4052.6315789473601</v>
      </c>
      <c r="BO23">
        <f t="shared" si="14"/>
        <v>10.393043478259187</v>
      </c>
      <c r="BP23" s="12">
        <f t="shared" si="15"/>
        <v>0.4850393700787396</v>
      </c>
      <c r="BQ23">
        <v>22.313043478260798</v>
      </c>
      <c r="BR23">
        <v>2710.5263157894701</v>
      </c>
      <c r="BS23">
        <f t="shared" si="34"/>
        <v>10.393043478259187</v>
      </c>
      <c r="BT23" s="12">
        <f t="shared" si="35"/>
        <v>0.39539347408829162</v>
      </c>
      <c r="BU23" s="21">
        <f t="shared" si="36"/>
        <v>7318421.0526315691</v>
      </c>
      <c r="BV23" s="13">
        <v>22.016725729194999</v>
      </c>
      <c r="BW23" s="13">
        <v>13.8044705790723</v>
      </c>
      <c r="BX23">
        <f t="shared" si="37"/>
        <v>3.2627438763191776</v>
      </c>
      <c r="BY23" s="12">
        <f t="shared" si="38"/>
        <v>0.78227719604099966</v>
      </c>
      <c r="BZ23" s="21">
        <f t="shared" si="39"/>
        <v>8455794.6998605393</v>
      </c>
      <c r="CI23">
        <v>22.206549118387901</v>
      </c>
      <c r="CJ23">
        <v>0.36020151133501299</v>
      </c>
      <c r="CK23">
        <f t="shared" si="57"/>
        <v>139.28463476070726</v>
      </c>
      <c r="CL23" s="12">
        <f t="shared" si="19"/>
        <v>3.8339637094843747E-2</v>
      </c>
      <c r="CM23" s="21">
        <f t="shared" si="52"/>
        <v>270151.13350125973</v>
      </c>
      <c r="CN23">
        <v>0.78818171026571604</v>
      </c>
      <c r="CO23">
        <v>31.7557495142355</v>
      </c>
      <c r="CP23">
        <f t="shared" si="53"/>
        <v>11.788181710265714</v>
      </c>
      <c r="CQ23" s="21">
        <f t="shared" si="54"/>
        <v>261984077.86527085</v>
      </c>
      <c r="CR23" s="29"/>
    </row>
    <row r="24" spans="1:98" x14ac:dyDescent="0.4">
      <c r="A24" s="9">
        <f t="shared" si="58"/>
        <v>40717</v>
      </c>
      <c r="B24" s="10">
        <v>333270.100599889</v>
      </c>
      <c r="C24" s="13">
        <f t="shared" si="55"/>
        <v>456</v>
      </c>
      <c r="D24" s="12">
        <f t="shared" si="42"/>
        <v>3.8874574946333118E-2</v>
      </c>
      <c r="E24" s="9">
        <v>40767</v>
      </c>
      <c r="F24">
        <v>30.869565217391301</v>
      </c>
      <c r="G24">
        <f t="shared" si="20"/>
        <v>1641.5</v>
      </c>
      <c r="H24" s="12">
        <f t="shared" si="21"/>
        <v>0.42771084337349435</v>
      </c>
      <c r="I24" s="10">
        <f t="shared" si="22"/>
        <v>70999.999999999985</v>
      </c>
      <c r="Q24" s="11">
        <f t="shared" ref="Q24:Q31" si="63">DATE(1912,6,FLOOR(R24,1)) +TIME(ROUND(24*MOD(R24,1),0),0,0)</f>
        <v>4542.958333333333</v>
      </c>
      <c r="R24">
        <v>7.9501187648456</v>
      </c>
      <c r="S24">
        <v>7774782690734340</v>
      </c>
      <c r="T24" s="10">
        <f t="shared" si="47"/>
        <v>5854342396245990</v>
      </c>
      <c r="U24">
        <f t="shared" ref="U24:U30" si="64">(AVERAGE(R23:R24)-(6+13/24))*24</f>
        <v>33.232779097387038</v>
      </c>
      <c r="V24" s="12">
        <f t="shared" si="23"/>
        <v>1</v>
      </c>
      <c r="W24">
        <v>14.6525473014888</v>
      </c>
      <c r="X24">
        <v>0.15624999999999201</v>
      </c>
      <c r="Y24">
        <f t="shared" si="24"/>
        <v>54.805135235731214</v>
      </c>
      <c r="Z24" s="12">
        <f t="shared" si="2"/>
        <v>4.6728971962614434E-3</v>
      </c>
      <c r="AA24" s="21">
        <f t="shared" si="25"/>
        <v>5.8456979066649872E-2</v>
      </c>
      <c r="AB24">
        <v>17.627358490565999</v>
      </c>
      <c r="AC24">
        <v>320.61789846763202</v>
      </c>
      <c r="AD24">
        <f t="shared" si="26"/>
        <v>135.05660377358399</v>
      </c>
      <c r="AE24" s="12">
        <f t="shared" si="62"/>
        <v>0.18353889819224747</v>
      </c>
      <c r="AF24">
        <v>146.475504322766</v>
      </c>
      <c r="AG24">
        <v>3.4147493740256101</v>
      </c>
      <c r="AH24">
        <f t="shared" si="27"/>
        <v>-2097.5878962536162</v>
      </c>
      <c r="AI24" s="12">
        <f t="shared" si="28"/>
        <v>7.0841580234022927E-2</v>
      </c>
      <c r="AJ24" s="21">
        <f t="shared" si="29"/>
        <v>22297.08392296388</v>
      </c>
      <c r="AK24">
        <v>8.6706642066420603</v>
      </c>
      <c r="AL24">
        <v>6639.8300346639799</v>
      </c>
      <c r="AM24">
        <f t="shared" si="4"/>
        <v>31.295202952029364</v>
      </c>
      <c r="AN24" s="12">
        <f t="shared" si="5"/>
        <v>0.56080238751842026</v>
      </c>
      <c r="AO24" s="21">
        <f t="shared" si="49"/>
        <v>341263.78074416297</v>
      </c>
      <c r="AT24">
        <v>17.805851063829699</v>
      </c>
      <c r="AU24">
        <v>4.4018003273322304</v>
      </c>
      <c r="AV24">
        <f t="shared" si="31"/>
        <v>19.340425531912786</v>
      </c>
      <c r="AW24" s="12">
        <f t="shared" si="7"/>
        <v>0.31939908556499025</v>
      </c>
      <c r="AX24" s="21">
        <f t="shared" si="32"/>
        <v>64226.265412931061</v>
      </c>
      <c r="BM24">
        <v>22.3391304347826</v>
      </c>
      <c r="BN24">
        <v>1368.4210526315701</v>
      </c>
      <c r="BO24">
        <f t="shared" si="14"/>
        <v>11.019130434782426</v>
      </c>
      <c r="BP24" s="12">
        <f t="shared" si="15"/>
        <v>0.1637795275590542</v>
      </c>
      <c r="BQ24">
        <v>22.326086956521699</v>
      </c>
      <c r="BR24">
        <v>3105.2631578947298</v>
      </c>
      <c r="BS24">
        <f t="shared" si="34"/>
        <v>10.706086956520807</v>
      </c>
      <c r="BT24" s="12">
        <f t="shared" si="35"/>
        <v>0.45297504798464433</v>
      </c>
      <c r="BU24" s="21">
        <f t="shared" si="36"/>
        <v>8384210.5263157701</v>
      </c>
      <c r="BV24" s="13">
        <v>22.029128860158099</v>
      </c>
      <c r="BW24" s="13">
        <v>13.8665835897036</v>
      </c>
      <c r="BX24">
        <f t="shared" si="37"/>
        <v>3.5604190194335956</v>
      </c>
      <c r="BY24" s="12">
        <f t="shared" si="38"/>
        <v>0.78579704068234213</v>
      </c>
      <c r="BZ24" s="21">
        <f t="shared" si="39"/>
        <v>8615455.7694497816</v>
      </c>
      <c r="CI24">
        <v>23.738035264483599</v>
      </c>
      <c r="CJ24">
        <v>0.36195573947463</v>
      </c>
      <c r="CK24">
        <f t="shared" si="57"/>
        <v>176.04030226700402</v>
      </c>
      <c r="CL24" s="12">
        <f t="shared" si="19"/>
        <v>3.8526356106669123E-2</v>
      </c>
      <c r="CM24" s="21">
        <f t="shared" si="52"/>
        <v>271466.80460597249</v>
      </c>
      <c r="CN24">
        <v>1.2741023510374401</v>
      </c>
      <c r="CO24">
        <v>31.900198054443099</v>
      </c>
      <c r="CP24">
        <f t="shared" si="53"/>
        <v>12.274102351037442</v>
      </c>
      <c r="CQ24" s="21">
        <f t="shared" si="54"/>
        <v>266985359.51161483</v>
      </c>
      <c r="CR24" s="29"/>
    </row>
    <row r="25" spans="1:98" x14ac:dyDescent="0.4">
      <c r="A25" s="9">
        <f t="shared" si="58"/>
        <v>40718</v>
      </c>
      <c r="B25" s="10">
        <v>23984.971664139201</v>
      </c>
      <c r="C25" s="13">
        <f t="shared" si="55"/>
        <v>480</v>
      </c>
      <c r="D25" s="12">
        <f t="shared" si="42"/>
        <v>2.7977474632885388E-3</v>
      </c>
      <c r="E25" s="9">
        <v>40772</v>
      </c>
      <c r="F25">
        <v>26.956521739130402</v>
      </c>
      <c r="G25">
        <f t="shared" si="20"/>
        <v>1761.5</v>
      </c>
      <c r="H25" s="12">
        <f t="shared" si="21"/>
        <v>0.37349397590361433</v>
      </c>
      <c r="I25" s="10">
        <f t="shared" si="22"/>
        <v>61999.999999999927</v>
      </c>
      <c r="Q25" s="11">
        <f t="shared" si="63"/>
        <v>4542.958333333333</v>
      </c>
      <c r="R25">
        <v>7.9738717339667398</v>
      </c>
      <c r="S25">
        <v>9724208251195010</v>
      </c>
      <c r="T25" s="10">
        <f t="shared" si="47"/>
        <v>1949425560460670</v>
      </c>
      <c r="U25">
        <f t="shared" si="64"/>
        <v>34.08788598574808</v>
      </c>
      <c r="V25" s="12">
        <f t="shared" si="23"/>
        <v>0.96971161404633022</v>
      </c>
      <c r="W25">
        <v>14.7196029776674</v>
      </c>
      <c r="X25">
        <v>0</v>
      </c>
      <c r="Y25">
        <f t="shared" si="24"/>
        <v>56.414471464017595</v>
      </c>
      <c r="Z25" s="12">
        <f t="shared" si="2"/>
        <v>0</v>
      </c>
      <c r="AA25" s="21">
        <f t="shared" si="25"/>
        <v>1</v>
      </c>
      <c r="AB25">
        <v>18.377358490565999</v>
      </c>
      <c r="AC25">
        <v>282.97977692067002</v>
      </c>
      <c r="AD25">
        <f t="shared" si="26"/>
        <v>153.05660377358399</v>
      </c>
      <c r="AE25" s="12">
        <f t="shared" si="62"/>
        <v>0.16199281672963475</v>
      </c>
      <c r="AF25">
        <v>146.93659942363101</v>
      </c>
      <c r="AG25">
        <v>3.1697926016913098</v>
      </c>
      <c r="AH25">
        <f t="shared" si="27"/>
        <v>-2086.521613832856</v>
      </c>
      <c r="AI25" s="12">
        <f t="shared" si="28"/>
        <v>6.5759765160511338E-2</v>
      </c>
      <c r="AJ25" s="21">
        <f t="shared" si="29"/>
        <v>16351.14327676189</v>
      </c>
      <c r="AK25">
        <v>8.7061808118081103</v>
      </c>
      <c r="AL25">
        <v>9909.4263669909396</v>
      </c>
      <c r="AM25">
        <f t="shared" si="4"/>
        <v>32.147601476014565</v>
      </c>
      <c r="AN25" s="12">
        <f t="shared" si="5"/>
        <v>0.83695364738771316</v>
      </c>
      <c r="AO25" s="21">
        <f t="shared" si="49"/>
        <v>1809832.2926376578</v>
      </c>
      <c r="AT25">
        <v>17.8484042553191</v>
      </c>
      <c r="AU25">
        <v>3.9533551554828099</v>
      </c>
      <c r="AV25">
        <f t="shared" si="31"/>
        <v>20.36170212765839</v>
      </c>
      <c r="AW25" s="12">
        <f t="shared" si="7"/>
        <v>0.28685945015141662</v>
      </c>
      <c r="AX25" s="21">
        <f t="shared" si="32"/>
        <v>41046.603357750602</v>
      </c>
      <c r="BM25">
        <v>22.352173913043401</v>
      </c>
      <c r="BN25">
        <v>934.21052631579005</v>
      </c>
      <c r="BO25">
        <f t="shared" si="14"/>
        <v>11.332173913041657</v>
      </c>
      <c r="BP25" s="12">
        <f t="shared" si="15"/>
        <v>0.11181102362204741</v>
      </c>
      <c r="BQ25">
        <v>22.347826086956498</v>
      </c>
      <c r="BR25">
        <v>2631.5789473684199</v>
      </c>
      <c r="BS25">
        <f t="shared" si="34"/>
        <v>11.227826086955986</v>
      </c>
      <c r="BT25" s="12">
        <f t="shared" si="35"/>
        <v>0.38387715930902133</v>
      </c>
      <c r="BU25" s="21">
        <f t="shared" si="36"/>
        <v>7105263.1578947334</v>
      </c>
      <c r="BV25" s="13">
        <v>22.038650258966399</v>
      </c>
      <c r="BW25" s="13">
        <v>14.6207017407219</v>
      </c>
      <c r="BX25">
        <f t="shared" si="37"/>
        <v>3.7889325908327862</v>
      </c>
      <c r="BY25" s="12">
        <f t="shared" si="38"/>
        <v>0.82853170618675909</v>
      </c>
      <c r="BZ25" s="21">
        <f t="shared" si="39"/>
        <v>10742524.576086169</v>
      </c>
      <c r="CI25">
        <v>23.738035264483599</v>
      </c>
      <c r="CJ25">
        <v>3.0974721122706002</v>
      </c>
      <c r="CK25">
        <f t="shared" si="57"/>
        <v>176.04030226700402</v>
      </c>
      <c r="CL25" s="12">
        <f t="shared" si="19"/>
        <v>0.32969311054723044</v>
      </c>
      <c r="CM25" s="21">
        <f t="shared" si="52"/>
        <v>2323104.0842029504</v>
      </c>
      <c r="CN25">
        <v>1.31711827661395</v>
      </c>
      <c r="CO25">
        <v>22.011345958002401</v>
      </c>
      <c r="CP25">
        <f t="shared" si="53"/>
        <v>12.31711827661395</v>
      </c>
      <c r="CQ25" s="21">
        <f t="shared" si="54"/>
        <v>56890864.300626144</v>
      </c>
      <c r="CR25" s="29"/>
    </row>
    <row r="26" spans="1:98" x14ac:dyDescent="0.4">
      <c r="A26" s="9">
        <f t="shared" si="58"/>
        <v>40719</v>
      </c>
      <c r="B26" s="10">
        <v>115024.47866603101</v>
      </c>
      <c r="C26" s="13">
        <f t="shared" si="55"/>
        <v>504</v>
      </c>
      <c r="D26" s="12">
        <f t="shared" si="42"/>
        <v>1.3417128354799095E-2</v>
      </c>
      <c r="E26" s="9">
        <v>40824</v>
      </c>
      <c r="F26">
        <v>19.130434782608599</v>
      </c>
      <c r="G26">
        <f t="shared" si="20"/>
        <v>3009.5</v>
      </c>
      <c r="H26" s="12">
        <f t="shared" si="21"/>
        <v>0.26506024096385433</v>
      </c>
      <c r="I26" s="10">
        <f t="shared" si="22"/>
        <v>43999.999999999782</v>
      </c>
      <c r="Q26" s="11">
        <f t="shared" si="63"/>
        <v>4543.208333333333</v>
      </c>
      <c r="R26">
        <v>8.2114014251781402</v>
      </c>
      <c r="S26">
        <v>1.11836352929476E+16</v>
      </c>
      <c r="T26" s="10">
        <f t="shared" si="47"/>
        <v>1459427041752590</v>
      </c>
      <c r="U26">
        <f t="shared" si="64"/>
        <v>37.223277909738563</v>
      </c>
      <c r="V26" s="12">
        <f t="shared" si="23"/>
        <v>0.96173796942453815</v>
      </c>
      <c r="W26">
        <v>14.717044044665</v>
      </c>
      <c r="X26">
        <v>6.875</v>
      </c>
      <c r="Y26">
        <f t="shared" si="24"/>
        <v>56.353057071960009</v>
      </c>
      <c r="Z26" s="12">
        <f t="shared" si="2"/>
        <v>0.20560747663551401</v>
      </c>
      <c r="AA26" s="21">
        <f t="shared" si="25"/>
        <v>411676.28856646648</v>
      </c>
      <c r="AB26">
        <v>19.127358490565999</v>
      </c>
      <c r="AC26">
        <v>237.05436255602899</v>
      </c>
      <c r="AD26">
        <f t="shared" si="26"/>
        <v>171.05660377358399</v>
      </c>
      <c r="AE26" s="12">
        <f t="shared" si="62"/>
        <v>0.13570264393580492</v>
      </c>
      <c r="AF26">
        <v>147.167146974063</v>
      </c>
      <c r="AG26">
        <v>4.8915765106061304</v>
      </c>
      <c r="AH26">
        <f t="shared" si="27"/>
        <v>-2080.9884726224882</v>
      </c>
      <c r="AI26" s="12">
        <f t="shared" si="28"/>
        <v>0.10147948557596462</v>
      </c>
      <c r="AJ26" s="21">
        <f t="shared" si="29"/>
        <v>99683.467898997318</v>
      </c>
      <c r="AK26">
        <v>8.7315498154981501</v>
      </c>
      <c r="AL26">
        <v>5179.9172537179902</v>
      </c>
      <c r="AM26">
        <f t="shared" si="4"/>
        <v>32.75645756457552</v>
      </c>
      <c r="AN26" s="12">
        <f t="shared" si="5"/>
        <v>0.43749763892561977</v>
      </c>
      <c r="AO26" s="21">
        <f t="shared" si="49"/>
        <v>121277.79153555975</v>
      </c>
      <c r="AT26">
        <v>17.896276595744599</v>
      </c>
      <c r="AU26">
        <v>3.5065466448445002</v>
      </c>
      <c r="AV26">
        <f t="shared" si="31"/>
        <v>21.510638297870372</v>
      </c>
      <c r="AW26" s="12">
        <f t="shared" si="7"/>
        <v>0.25443857253132185</v>
      </c>
      <c r="AX26" s="21">
        <f t="shared" si="32"/>
        <v>24902.981421485234</v>
      </c>
      <c r="BM26">
        <v>22.443478260869501</v>
      </c>
      <c r="BN26">
        <v>815.78947368420995</v>
      </c>
      <c r="BO26">
        <f t="shared" si="14"/>
        <v>13.523478260868046</v>
      </c>
      <c r="BP26" s="12">
        <f t="shared" si="15"/>
        <v>9.7637795275590564E-2</v>
      </c>
      <c r="BQ26">
        <v>22.365217391304299</v>
      </c>
      <c r="BR26">
        <v>3184.21052631578</v>
      </c>
      <c r="BS26">
        <f t="shared" si="34"/>
        <v>11.645217391303191</v>
      </c>
      <c r="BT26" s="12">
        <f t="shared" si="35"/>
        <v>0.46449136276391462</v>
      </c>
      <c r="BU26" s="21">
        <f t="shared" si="36"/>
        <v>8597368.4210526068</v>
      </c>
      <c r="BV26" s="13">
        <v>22.057225748666198</v>
      </c>
      <c r="BW26" s="13">
        <v>14.6195334709295</v>
      </c>
      <c r="BX26">
        <f t="shared" si="37"/>
        <v>4.2347443436279661</v>
      </c>
      <c r="BY26" s="12">
        <f t="shared" si="38"/>
        <v>0.82846550221231585</v>
      </c>
      <c r="BZ26" s="21">
        <f t="shared" si="39"/>
        <v>10738948.431262279</v>
      </c>
      <c r="CI26">
        <v>24.221662468513799</v>
      </c>
      <c r="CJ26">
        <v>3.0990913997840899</v>
      </c>
      <c r="CK26">
        <f t="shared" si="57"/>
        <v>187.6473551637288</v>
      </c>
      <c r="CL26" s="12">
        <f t="shared" si="19"/>
        <v>0.32986546655814586</v>
      </c>
      <c r="CM26" s="21">
        <f t="shared" si="52"/>
        <v>2324318.5498380675</v>
      </c>
      <c r="CN26">
        <v>2.2891719824812302</v>
      </c>
      <c r="CO26">
        <v>22.448940065101802</v>
      </c>
      <c r="CP26">
        <f t="shared" si="53"/>
        <v>13.289171982481228</v>
      </c>
      <c r="CQ26" s="21">
        <f t="shared" si="54"/>
        <v>61753896.832748175</v>
      </c>
      <c r="CR26" s="29"/>
    </row>
    <row r="27" spans="1:98" x14ac:dyDescent="0.4">
      <c r="A27" s="9">
        <f t="shared" si="58"/>
        <v>40720</v>
      </c>
      <c r="B27" s="10">
        <v>22678.958186800701</v>
      </c>
      <c r="C27" s="13">
        <f t="shared" si="55"/>
        <v>528</v>
      </c>
      <c r="D27" s="12">
        <f t="shared" si="42"/>
        <v>2.6454064080473727E-3</v>
      </c>
      <c r="E27" s="9">
        <v>40850</v>
      </c>
      <c r="F27">
        <v>21.3043478260869</v>
      </c>
      <c r="G27">
        <f t="shared" si="20"/>
        <v>3633.5</v>
      </c>
      <c r="H27" s="12">
        <f t="shared" si="21"/>
        <v>0.29518072289156577</v>
      </c>
      <c r="I27" s="10">
        <f t="shared" si="22"/>
        <v>48999.999999999869</v>
      </c>
      <c r="Q27" s="11">
        <f t="shared" si="63"/>
        <v>4543.875</v>
      </c>
      <c r="R27">
        <v>8.87648456057007</v>
      </c>
      <c r="S27">
        <v>1.11836352929476E+16</v>
      </c>
      <c r="T27" s="10">
        <f t="shared" si="47"/>
        <v>0</v>
      </c>
      <c r="U27">
        <f t="shared" si="64"/>
        <v>48.054631828978494</v>
      </c>
      <c r="V27" s="12">
        <v>0</v>
      </c>
      <c r="W27">
        <v>14.7374573511166</v>
      </c>
      <c r="X27">
        <v>12.03125</v>
      </c>
      <c r="Y27">
        <f t="shared" si="24"/>
        <v>56.842976426798401</v>
      </c>
      <c r="Z27" s="12">
        <f t="shared" si="2"/>
        <v>0.35981308411214952</v>
      </c>
      <c r="AA27" s="21">
        <f t="shared" si="25"/>
        <v>4238521.49280662</v>
      </c>
      <c r="AB27">
        <v>19.905660377358402</v>
      </c>
      <c r="AC27">
        <v>203.54685708328901</v>
      </c>
      <c r="AD27">
        <f t="shared" si="26"/>
        <v>189.73584905660164</v>
      </c>
      <c r="AE27" s="12">
        <f t="shared" si="62"/>
        <v>0.11652114887570221</v>
      </c>
      <c r="AF27">
        <v>147.74351585014401</v>
      </c>
      <c r="AG27">
        <v>4.4009543156800701</v>
      </c>
      <c r="AH27">
        <f t="shared" si="27"/>
        <v>-2067.1556195965441</v>
      </c>
      <c r="AI27" s="12">
        <f t="shared" si="28"/>
        <v>9.1301153938854462E-2</v>
      </c>
      <c r="AJ27" s="21">
        <f t="shared" si="29"/>
        <v>64174.847402071071</v>
      </c>
      <c r="AK27">
        <v>8.7721402214022106</v>
      </c>
      <c r="AL27">
        <v>24.823884602481399</v>
      </c>
      <c r="AM27">
        <f t="shared" si="4"/>
        <v>33.730627306272972</v>
      </c>
      <c r="AN27" s="12">
        <f t="shared" si="5"/>
        <v>2.0966340523591175E-3</v>
      </c>
      <c r="AO27" s="21">
        <f t="shared" si="49"/>
        <v>2.626597054035155E-5</v>
      </c>
      <c r="AT27">
        <v>17.9654255319148</v>
      </c>
      <c r="AU27">
        <v>2.60474631751226</v>
      </c>
      <c r="AV27">
        <f t="shared" si="31"/>
        <v>23.170212765955199</v>
      </c>
      <c r="AW27" s="12">
        <f t="shared" si="7"/>
        <v>0.1890030283237332</v>
      </c>
      <c r="AX27" s="21">
        <f t="shared" si="32"/>
        <v>7215.6517189365122</v>
      </c>
      <c r="BM27">
        <v>22.478260869565201</v>
      </c>
      <c r="BN27">
        <v>3973.6842105263099</v>
      </c>
      <c r="BO27">
        <f t="shared" si="14"/>
        <v>14.358260869564845</v>
      </c>
      <c r="BP27" s="12">
        <f t="shared" si="15"/>
        <v>0.47559055118110211</v>
      </c>
      <c r="BQ27">
        <v>22.4086956521739</v>
      </c>
      <c r="BR27">
        <v>1171.05263157894</v>
      </c>
      <c r="BS27">
        <f t="shared" si="34"/>
        <v>12.688695652173635</v>
      </c>
      <c r="BT27" s="12">
        <f t="shared" si="35"/>
        <v>0.17082533589251347</v>
      </c>
      <c r="BU27" s="21">
        <f t="shared" si="36"/>
        <v>3161842.1052631382</v>
      </c>
      <c r="BV27" s="13">
        <v>22.063222866934002</v>
      </c>
      <c r="BW27" s="13">
        <v>13.990225476069901</v>
      </c>
      <c r="BX27">
        <f t="shared" si="37"/>
        <v>4.3786751820552468</v>
      </c>
      <c r="BY27" s="12">
        <f t="shared" si="38"/>
        <v>0.79280362797780002</v>
      </c>
      <c r="BZ27" s="21">
        <f t="shared" si="39"/>
        <v>8940087.2434826996</v>
      </c>
      <c r="CI27">
        <v>24.221662468513799</v>
      </c>
      <c r="CJ27">
        <v>0.152662828355524</v>
      </c>
      <c r="CK27">
        <f t="shared" si="57"/>
        <v>187.6473551637288</v>
      </c>
      <c r="CL27" s="12">
        <f t="shared" si="19"/>
        <v>1.6249341695791696E-2</v>
      </c>
      <c r="CM27" s="21">
        <f t="shared" si="52"/>
        <v>114497.12126664299</v>
      </c>
      <c r="CN27">
        <v>2.3868871714451698</v>
      </c>
      <c r="CO27">
        <v>30.8495723398539</v>
      </c>
      <c r="CP27">
        <f t="shared" si="53"/>
        <v>13.386887171445171</v>
      </c>
      <c r="CQ27" s="21">
        <f t="shared" si="54"/>
        <v>232212974.88328987</v>
      </c>
      <c r="CR27" s="29"/>
    </row>
    <row r="28" spans="1:98" x14ac:dyDescent="0.4">
      <c r="A28" s="9">
        <f t="shared" si="58"/>
        <v>40721</v>
      </c>
      <c r="B28" s="10">
        <v>372759.372031493</v>
      </c>
      <c r="C28" s="13">
        <f t="shared" si="55"/>
        <v>552</v>
      </c>
      <c r="D28" s="12">
        <f t="shared" si="42"/>
        <v>4.3480834671045111E-2</v>
      </c>
      <c r="E28" s="9">
        <v>40901</v>
      </c>
      <c r="F28">
        <v>20.434782608695599</v>
      </c>
      <c r="G28">
        <f t="shared" si="20"/>
        <v>4857.5</v>
      </c>
      <c r="H28" s="12">
        <f t="shared" si="21"/>
        <v>0.28313253012048145</v>
      </c>
      <c r="I28" s="10">
        <f t="shared" si="22"/>
        <v>46999.999999999876</v>
      </c>
      <c r="Q28" s="11">
        <f t="shared" si="63"/>
        <v>4544.625</v>
      </c>
      <c r="R28">
        <v>9.6128266033254093</v>
      </c>
      <c r="S28">
        <v>1.15008183741574E+16</v>
      </c>
      <c r="T28" s="10">
        <f t="shared" si="47"/>
        <v>317183081209800</v>
      </c>
      <c r="U28">
        <f t="shared" si="64"/>
        <v>64.871733966745751</v>
      </c>
      <c r="V28" s="12">
        <f>LOG10(T28)/LOG10(MAX(T$4:T$40))</f>
        <v>0.91969748772024773</v>
      </c>
      <c r="W28">
        <v>14.7745618796526</v>
      </c>
      <c r="X28">
        <v>12.343749999999901</v>
      </c>
      <c r="Y28">
        <f t="shared" si="24"/>
        <v>57.733485111662404</v>
      </c>
      <c r="Z28" s="12">
        <f t="shared" si="2"/>
        <v>0.36915887850466994</v>
      </c>
      <c r="AA28" s="21">
        <f t="shared" si="25"/>
        <v>4716457.3898536414</v>
      </c>
      <c r="AB28">
        <v>20.584905660377299</v>
      </c>
      <c r="AC28">
        <v>174.22860419055499</v>
      </c>
      <c r="AD28">
        <f t="shared" si="26"/>
        <v>206.03773584905517</v>
      </c>
      <c r="AE28" s="12">
        <f t="shared" si="62"/>
        <v>9.9737806902055914E-2</v>
      </c>
      <c r="AF28">
        <v>148.089337175792</v>
      </c>
      <c r="AG28">
        <v>2.1885482118391799</v>
      </c>
      <c r="AH28">
        <f t="shared" si="27"/>
        <v>-2058.8559077809923</v>
      </c>
      <c r="AI28" s="12">
        <f t="shared" si="28"/>
        <v>4.5403101886290848E-2</v>
      </c>
      <c r="AJ28" s="21">
        <f t="shared" si="29"/>
        <v>3493.3069847394095</v>
      </c>
      <c r="AK28">
        <v>8.8127306273062693</v>
      </c>
      <c r="AL28">
        <v>990.94263669909299</v>
      </c>
      <c r="AM28">
        <f t="shared" si="4"/>
        <v>34.704797047970381</v>
      </c>
      <c r="AN28" s="12">
        <f t="shared" si="5"/>
        <v>8.3695364738771233E-2</v>
      </c>
      <c r="AO28" s="21">
        <f t="shared" si="49"/>
        <v>123.30243872990179</v>
      </c>
      <c r="AT28">
        <v>18.010638297872301</v>
      </c>
      <c r="AU28">
        <v>1.9263502454991701</v>
      </c>
      <c r="AV28">
        <f t="shared" si="31"/>
        <v>24.255319148935229</v>
      </c>
      <c r="AW28" s="12">
        <f t="shared" si="7"/>
        <v>0.13977792292619159</v>
      </c>
      <c r="AX28" s="21">
        <f t="shared" si="32"/>
        <v>2052.6574458817054</v>
      </c>
      <c r="BM28">
        <v>22.495652173913001</v>
      </c>
      <c r="BN28">
        <v>4092.10526315789</v>
      </c>
      <c r="BO28">
        <f t="shared" si="14"/>
        <v>14.77565217391205</v>
      </c>
      <c r="BP28" s="12">
        <f t="shared" si="15"/>
        <v>0.48976377952755895</v>
      </c>
      <c r="BQ28">
        <v>22.439130434782601</v>
      </c>
      <c r="BR28">
        <v>1447.3684210526301</v>
      </c>
      <c r="BS28">
        <f t="shared" si="34"/>
        <v>13.41913043478246</v>
      </c>
      <c r="BT28" s="12">
        <f t="shared" si="35"/>
        <v>0.21113243761996159</v>
      </c>
      <c r="BU28" s="21">
        <f t="shared" si="36"/>
        <v>3907894.7368421014</v>
      </c>
      <c r="BV28" s="13">
        <v>22.065987772109501</v>
      </c>
      <c r="BW28" s="13">
        <v>12.920869192725499</v>
      </c>
      <c r="BX28">
        <f t="shared" si="37"/>
        <v>4.4450329062672438</v>
      </c>
      <c r="BY28" s="12">
        <f t="shared" si="38"/>
        <v>0.73220492336889786</v>
      </c>
      <c r="BZ28" s="21">
        <f t="shared" si="39"/>
        <v>6418807.0830112603</v>
      </c>
      <c r="CI28">
        <v>24.7455919395466</v>
      </c>
      <c r="CJ28">
        <v>0.15441705649514101</v>
      </c>
      <c r="CK28">
        <f t="shared" si="57"/>
        <v>200.22166246851603</v>
      </c>
      <c r="CL28" s="12">
        <f t="shared" si="19"/>
        <v>1.6436060707617068E-2</v>
      </c>
      <c r="CM28" s="21">
        <f t="shared" si="52"/>
        <v>115812.79237135575</v>
      </c>
      <c r="CN28">
        <v>3.2435944694702399</v>
      </c>
      <c r="CO28">
        <v>30.5446809574089</v>
      </c>
      <c r="CP28">
        <f t="shared" si="53"/>
        <v>14.243594469470239</v>
      </c>
      <c r="CQ28" s="21">
        <f t="shared" si="54"/>
        <v>222799051.61964908</v>
      </c>
      <c r="CR28" s="29"/>
      <c r="CT28" s="30"/>
    </row>
    <row r="29" spans="1:98" x14ac:dyDescent="0.4">
      <c r="A29" s="9">
        <f t="shared" si="58"/>
        <v>40722</v>
      </c>
      <c r="B29" s="10">
        <v>466329.62813218101</v>
      </c>
      <c r="C29" s="13">
        <f t="shared" si="55"/>
        <v>576</v>
      </c>
      <c r="D29" s="12">
        <f t="shared" si="42"/>
        <v>5.4395416948261825E-2</v>
      </c>
      <c r="Q29" s="11">
        <f t="shared" si="63"/>
        <v>4545.166666666667</v>
      </c>
      <c r="R29">
        <v>10.1828978622327</v>
      </c>
      <c r="S29">
        <v>1.15008183741574E+16</v>
      </c>
      <c r="T29" s="10">
        <f t="shared" si="47"/>
        <v>0</v>
      </c>
      <c r="U29">
        <f t="shared" si="64"/>
        <v>80.548693586697311</v>
      </c>
      <c r="V29" s="12">
        <v>0</v>
      </c>
      <c r="W29">
        <v>14.786600496277901</v>
      </c>
      <c r="X29">
        <v>0</v>
      </c>
      <c r="Y29">
        <f t="shared" si="24"/>
        <v>58.022411910669618</v>
      </c>
      <c r="Z29" s="12">
        <f t="shared" si="2"/>
        <v>0</v>
      </c>
      <c r="AA29" s="21">
        <f t="shared" si="25"/>
        <v>1</v>
      </c>
      <c r="AB29">
        <v>20.924528301886699</v>
      </c>
      <c r="AC29">
        <v>207.22141144584501</v>
      </c>
      <c r="AD29">
        <f t="shared" si="26"/>
        <v>214.18867924528078</v>
      </c>
      <c r="AE29" s="12">
        <f t="shared" si="62"/>
        <v>0.11862466106973255</v>
      </c>
      <c r="AF29">
        <v>148.55043227665701</v>
      </c>
      <c r="AG29">
        <v>0.46818160343931903</v>
      </c>
      <c r="AH29">
        <f t="shared" si="27"/>
        <v>-2047.7896253602319</v>
      </c>
      <c r="AI29" s="12">
        <f t="shared" si="28"/>
        <v>9.7127844510123268E-3</v>
      </c>
      <c r="AJ29" s="21">
        <f t="shared" si="29"/>
        <v>5.6577796504991511</v>
      </c>
      <c r="AK29">
        <v>8.8228782287822796</v>
      </c>
      <c r="AL29">
        <v>0</v>
      </c>
      <c r="AM29">
        <f t="shared" si="4"/>
        <v>34.948339483394626</v>
      </c>
      <c r="AN29" s="12">
        <f t="shared" si="5"/>
        <v>0</v>
      </c>
      <c r="AO29" s="21">
        <f t="shared" si="49"/>
        <v>1</v>
      </c>
      <c r="AT29">
        <v>18.0585106382978</v>
      </c>
      <c r="AU29">
        <v>1.24877250409164</v>
      </c>
      <c r="AV29">
        <f t="shared" si="31"/>
        <v>25.404255319147211</v>
      </c>
      <c r="AW29" s="12">
        <f t="shared" si="7"/>
        <v>9.0612196425389729E-2</v>
      </c>
      <c r="AX29" s="21">
        <f t="shared" si="32"/>
        <v>337.23563437282269</v>
      </c>
      <c r="BM29">
        <v>22.530434782608602</v>
      </c>
      <c r="BN29">
        <v>1052.6315789473599</v>
      </c>
      <c r="BO29">
        <f t="shared" si="14"/>
        <v>15.610434782606461</v>
      </c>
      <c r="BP29" s="12">
        <f t="shared" si="15"/>
        <v>0.12598425196850302</v>
      </c>
      <c r="BQ29">
        <v>22.4652173913043</v>
      </c>
      <c r="BR29">
        <v>1171.05263157894</v>
      </c>
      <c r="BS29">
        <f t="shared" si="34"/>
        <v>14.045217391303225</v>
      </c>
      <c r="BT29" s="12">
        <f t="shared" si="35"/>
        <v>0.17082533589251347</v>
      </c>
      <c r="BU29" s="21">
        <f t="shared" si="36"/>
        <v>3161842.1052631382</v>
      </c>
      <c r="BV29" s="13">
        <v>22.071945948050899</v>
      </c>
      <c r="BW29" s="13">
        <v>12.165777483546799</v>
      </c>
      <c r="BX29">
        <f t="shared" si="37"/>
        <v>4.5880291288607964</v>
      </c>
      <c r="BY29" s="12">
        <f t="shared" si="38"/>
        <v>0.68941508788577455</v>
      </c>
      <c r="BZ29" s="21">
        <f t="shared" si="39"/>
        <v>4994456.5071406364</v>
      </c>
      <c r="CI29">
        <v>24.7455919395466</v>
      </c>
      <c r="CJ29">
        <v>0.63655991363800202</v>
      </c>
      <c r="CK29">
        <f t="shared" si="57"/>
        <v>200.22166246851603</v>
      </c>
      <c r="CL29" s="12">
        <f t="shared" si="19"/>
        <v>6.775506295782098E-2</v>
      </c>
      <c r="CM29" s="21">
        <f t="shared" si="52"/>
        <v>477419.9352285015</v>
      </c>
      <c r="CN29">
        <v>4.10008934317149</v>
      </c>
      <c r="CO29">
        <v>30.091092548279601</v>
      </c>
      <c r="CP29">
        <f t="shared" si="53"/>
        <v>15.10008934317149</v>
      </c>
      <c r="CQ29" s="21">
        <f t="shared" si="54"/>
        <v>209334038.04614452</v>
      </c>
      <c r="CR29" s="29"/>
    </row>
    <row r="30" spans="1:98" x14ac:dyDescent="0.4">
      <c r="A30" s="9">
        <f t="shared" si="58"/>
        <v>40723</v>
      </c>
      <c r="B30" s="10">
        <v>394225.471120678</v>
      </c>
      <c r="C30" s="13">
        <f t="shared" si="55"/>
        <v>600</v>
      </c>
      <c r="D30" s="12">
        <f t="shared" si="42"/>
        <v>4.5984766095873965E-2</v>
      </c>
      <c r="Q30" s="11">
        <f t="shared" si="63"/>
        <v>4545.333333333333</v>
      </c>
      <c r="R30">
        <v>10.349168646080701</v>
      </c>
      <c r="S30">
        <v>1.47924628013893E+16</v>
      </c>
      <c r="T30" s="10">
        <f t="shared" si="47"/>
        <v>3291644427231900</v>
      </c>
      <c r="U30">
        <f t="shared" si="64"/>
        <v>89.384798099760786</v>
      </c>
      <c r="V30" s="12">
        <f>LOG10(T30)/LOG10(MAX(T$4:T$40))</f>
        <v>0.98414044391320121</v>
      </c>
      <c r="W30">
        <v>14.8907607009925</v>
      </c>
      <c r="X30">
        <v>0.15624999999999201</v>
      </c>
      <c r="Y30">
        <f t="shared" si="24"/>
        <v>60.522256823820001</v>
      </c>
      <c r="Z30" s="12">
        <f t="shared" si="2"/>
        <v>4.6728971962614434E-3</v>
      </c>
      <c r="AA30" s="21">
        <f t="shared" si="25"/>
        <v>5.8456979066649872E-2</v>
      </c>
      <c r="AB30">
        <v>21.4198113207547</v>
      </c>
      <c r="AC30">
        <v>157.269623683936</v>
      </c>
      <c r="AD30">
        <f t="shared" si="26"/>
        <v>226.07547169811281</v>
      </c>
      <c r="AE30" s="12">
        <f t="shared" si="62"/>
        <v>9.0029575978189114E-2</v>
      </c>
      <c r="AF30">
        <v>167.57060518731899</v>
      </c>
      <c r="AG30">
        <v>0.507157367600513</v>
      </c>
      <c r="AH30">
        <f t="shared" si="27"/>
        <v>-1591.3054755043443</v>
      </c>
      <c r="AI30" s="12">
        <f t="shared" si="28"/>
        <v>1.0521366405814048E-2</v>
      </c>
      <c r="AJ30" s="21">
        <f t="shared" si="29"/>
        <v>7.8949188826995531</v>
      </c>
      <c r="AK30">
        <v>8.9700184501845008</v>
      </c>
      <c r="AL30">
        <v>0</v>
      </c>
      <c r="AM30">
        <f t="shared" si="4"/>
        <v>38.479704797047937</v>
      </c>
      <c r="AN30" s="12">
        <f t="shared" si="5"/>
        <v>0</v>
      </c>
      <c r="AO30" s="21">
        <f t="shared" si="49"/>
        <v>1</v>
      </c>
      <c r="AT30">
        <v>18.103723404255302</v>
      </c>
      <c r="AU30">
        <v>0.57037643207854605</v>
      </c>
      <c r="AV30">
        <f t="shared" si="31"/>
        <v>26.489361702127241</v>
      </c>
      <c r="AW30" s="12">
        <f t="shared" si="7"/>
        <v>4.1387091027847829E-2</v>
      </c>
      <c r="AX30" s="21">
        <f t="shared" si="32"/>
        <v>12.880304906877971</v>
      </c>
      <c r="BM30">
        <v>22.5565217391304</v>
      </c>
      <c r="BN30">
        <v>855.26315789473597</v>
      </c>
      <c r="BO30">
        <f t="shared" si="14"/>
        <v>16.236521739129614</v>
      </c>
      <c r="BP30" s="12">
        <f t="shared" si="15"/>
        <v>0.10236220472440943</v>
      </c>
      <c r="BQ30">
        <v>22.504347826086899</v>
      </c>
      <c r="BR30">
        <v>3026.3157894736801</v>
      </c>
      <c r="BS30">
        <f t="shared" si="34"/>
        <v>14.98434782608561</v>
      </c>
      <c r="BT30" s="12">
        <f t="shared" si="35"/>
        <v>0.4414587332053741</v>
      </c>
      <c r="BU30" s="21">
        <f t="shared" si="36"/>
        <v>8171052.6315789362</v>
      </c>
      <c r="BV30" s="13">
        <v>22.078254604930098</v>
      </c>
      <c r="BW30" s="13">
        <v>12.54273920324</v>
      </c>
      <c r="BX30">
        <f t="shared" si="37"/>
        <v>4.7394368939615674</v>
      </c>
      <c r="BY30" s="12">
        <f t="shared" si="38"/>
        <v>0.71077690364011747</v>
      </c>
      <c r="BZ30" s="21">
        <f t="shared" si="39"/>
        <v>5671619.4499845365</v>
      </c>
      <c r="CI30">
        <v>25.632241813602</v>
      </c>
      <c r="CJ30">
        <v>0.69296509535804396</v>
      </c>
      <c r="CK30">
        <f t="shared" si="57"/>
        <v>221.50125944584565</v>
      </c>
      <c r="CL30" s="12">
        <f t="shared" si="19"/>
        <v>7.3758797338057375E-2</v>
      </c>
      <c r="CM30" s="21">
        <f t="shared" si="52"/>
        <v>519723.82151853293</v>
      </c>
      <c r="CN30">
        <v>4.8709772143673797</v>
      </c>
      <c r="CO30">
        <v>29.712602385400199</v>
      </c>
      <c r="CP30">
        <f t="shared" si="53"/>
        <v>15.870977214367379</v>
      </c>
      <c r="CQ30" s="21">
        <f t="shared" si="54"/>
        <v>198579576.24362707</v>
      </c>
      <c r="CR30" s="29"/>
    </row>
    <row r="31" spans="1:98" x14ac:dyDescent="0.4">
      <c r="A31" s="9">
        <f t="shared" si="58"/>
        <v>40724</v>
      </c>
      <c r="B31" s="10">
        <v>315123.10217636498</v>
      </c>
      <c r="C31" s="13">
        <f t="shared" si="55"/>
        <v>624</v>
      </c>
      <c r="D31" s="12">
        <f t="shared" si="42"/>
        <v>3.6757802847676671E-2</v>
      </c>
      <c r="Q31" s="11">
        <f t="shared" si="63"/>
        <v>4552.125</v>
      </c>
      <c r="R31">
        <v>17.1187648456057</v>
      </c>
      <c r="S31">
        <v>1.47924628013893E+16</v>
      </c>
      <c r="T31" s="10">
        <f t="shared" si="47"/>
        <v>0</v>
      </c>
      <c r="U31">
        <f t="shared" ref="U31" si="65">(AVERAGE(R30:R31)-(6+13/24))*24</f>
        <v>172.61520190023683</v>
      </c>
      <c r="V31" s="12">
        <v>0</v>
      </c>
      <c r="W31">
        <v>14.909196650124001</v>
      </c>
      <c r="X31">
        <v>10.625</v>
      </c>
      <c r="Y31">
        <f t="shared" si="24"/>
        <v>60.964719602976018</v>
      </c>
      <c r="Z31" s="12">
        <f t="shared" si="2"/>
        <v>0.31775700934579437</v>
      </c>
      <c r="AA31" s="21">
        <f t="shared" si="25"/>
        <v>2525167.383644118</v>
      </c>
      <c r="AB31">
        <v>21.787735849056599</v>
      </c>
      <c r="AC31">
        <v>239.97315751068399</v>
      </c>
      <c r="AD31">
        <f t="shared" si="26"/>
        <v>234.90566037735837</v>
      </c>
      <c r="AE31" s="12">
        <f t="shared" si="62"/>
        <v>0.13737351887007049</v>
      </c>
      <c r="AF31">
        <v>167.80115273775201</v>
      </c>
      <c r="AG31">
        <v>4.6879576699579504</v>
      </c>
      <c r="AH31">
        <f t="shared" si="27"/>
        <v>-1585.7723342939519</v>
      </c>
      <c r="AI31" s="12">
        <f t="shared" si="28"/>
        <v>9.7255257424212538E-2</v>
      </c>
      <c r="AJ31" s="21">
        <f t="shared" si="29"/>
        <v>83499.703418084857</v>
      </c>
      <c r="AK31">
        <v>8.9750922509225095</v>
      </c>
      <c r="AL31">
        <v>5522.0843117521999</v>
      </c>
      <c r="AM31">
        <f t="shared" si="4"/>
        <v>38.601476014760145</v>
      </c>
      <c r="AN31" s="12">
        <f t="shared" si="5"/>
        <v>0.46639718937705682</v>
      </c>
      <c r="AO31" s="21">
        <f t="shared" si="49"/>
        <v>158318.67959123928</v>
      </c>
      <c r="AT31">
        <v>18.124999999999901</v>
      </c>
      <c r="AU31">
        <v>0.115384615384598</v>
      </c>
      <c r="AV31">
        <f t="shared" si="31"/>
        <v>26.999999999997613</v>
      </c>
      <c r="AW31" s="12">
        <f t="shared" si="7"/>
        <v>8.3724244403526604E-3</v>
      </c>
      <c r="AX31" s="21">
        <f t="shared" si="32"/>
        <v>1.6527323880369069E-2</v>
      </c>
      <c r="BM31">
        <v>22.6608695652173</v>
      </c>
      <c r="BN31">
        <v>776.31578947368496</v>
      </c>
      <c r="BO31">
        <f t="shared" si="14"/>
        <v>18.740869565215235</v>
      </c>
      <c r="BP31" s="12">
        <f t="shared" si="15"/>
        <v>9.2913385826771833E-2</v>
      </c>
      <c r="BQ31">
        <v>22.543478260869499</v>
      </c>
      <c r="BR31">
        <v>1644.7368421052599</v>
      </c>
      <c r="BS31">
        <f t="shared" si="34"/>
        <v>15.923478260867995</v>
      </c>
      <c r="BT31" s="12">
        <f t="shared" si="35"/>
        <v>0.23992322456813794</v>
      </c>
      <c r="BU31" s="21">
        <f t="shared" si="36"/>
        <v>4440789.4736842019</v>
      </c>
      <c r="BV31" s="13">
        <v>22.081525760348899</v>
      </c>
      <c r="BW31" s="13">
        <v>13.1085712060438</v>
      </c>
      <c r="BX31">
        <f t="shared" si="37"/>
        <v>4.8179446240127959</v>
      </c>
      <c r="BY31" s="12">
        <f t="shared" si="38"/>
        <v>0.74284169526310528</v>
      </c>
      <c r="BZ31" s="21">
        <f t="shared" si="39"/>
        <v>6816363.9645324247</v>
      </c>
      <c r="CI31">
        <v>25.632241813602</v>
      </c>
      <c r="CJ31">
        <v>3.9073857502698801</v>
      </c>
      <c r="CK31">
        <f t="shared" si="57"/>
        <v>221.50125944584565</v>
      </c>
      <c r="CL31" s="12">
        <f t="shared" si="19"/>
        <v>0.41589984200699015</v>
      </c>
      <c r="CM31" s="21">
        <f t="shared" si="52"/>
        <v>2930539.3127024099</v>
      </c>
      <c r="CN31">
        <v>5.75572452313863</v>
      </c>
      <c r="CO31">
        <v>29.0357185252753</v>
      </c>
      <c r="CP31">
        <f t="shared" si="53"/>
        <v>16.755724523138632</v>
      </c>
      <c r="CQ31" s="21">
        <f t="shared" si="54"/>
        <v>180398991.90102136</v>
      </c>
      <c r="CR31" s="29"/>
    </row>
    <row r="32" spans="1:98" x14ac:dyDescent="0.4">
      <c r="A32" s="9"/>
      <c r="T32" s="10"/>
      <c r="W32">
        <v>14.960549782878401</v>
      </c>
      <c r="X32">
        <v>12.65625</v>
      </c>
      <c r="Y32">
        <f t="shared" si="24"/>
        <v>62.197194789081621</v>
      </c>
      <c r="Z32" s="12">
        <f t="shared" si="2"/>
        <v>0.37850467289719625</v>
      </c>
      <c r="AA32" s="21">
        <f t="shared" si="25"/>
        <v>5234283.9689994184</v>
      </c>
      <c r="AB32">
        <v>22.1698113207547</v>
      </c>
      <c r="AC32">
        <v>136.20608777233301</v>
      </c>
      <c r="AD32">
        <f t="shared" si="26"/>
        <v>244.07547169811281</v>
      </c>
      <c r="AE32" s="12">
        <f t="shared" si="62"/>
        <v>7.7971677178011123E-2</v>
      </c>
      <c r="AF32">
        <v>168.14697406339999</v>
      </c>
      <c r="AG32">
        <v>4.9345679595596899</v>
      </c>
      <c r="AH32">
        <f t="shared" si="27"/>
        <v>-1577.4726224784001</v>
      </c>
      <c r="AI32" s="12">
        <f t="shared" si="28"/>
        <v>0.10237137597459439</v>
      </c>
      <c r="AJ32" s="21">
        <f t="shared" si="29"/>
        <v>103385.02892405812</v>
      </c>
      <c r="AK32">
        <v>9.0004612546125404</v>
      </c>
      <c r="AL32">
        <v>9944.0903499943997</v>
      </c>
      <c r="AM32">
        <f t="shared" si="4"/>
        <v>39.210332103320887</v>
      </c>
      <c r="AN32" s="12">
        <f t="shared" si="5"/>
        <v>0.83988137962298903</v>
      </c>
      <c r="AO32" s="21">
        <f t="shared" si="49"/>
        <v>1836357.6869389019</v>
      </c>
      <c r="BM32">
        <v>22.686956521739098</v>
      </c>
      <c r="BN32">
        <v>3894.7368421052602</v>
      </c>
      <c r="BO32">
        <f t="shared" si="14"/>
        <v>19.366956521738388</v>
      </c>
      <c r="BP32" s="12">
        <f t="shared" si="15"/>
        <v>0.46614173228346462</v>
      </c>
      <c r="BQ32">
        <v>22.582608695652102</v>
      </c>
      <c r="BR32">
        <v>1763.15789473683</v>
      </c>
      <c r="BS32">
        <f t="shared" si="34"/>
        <v>16.862608695650465</v>
      </c>
      <c r="BT32" s="12">
        <f t="shared" si="35"/>
        <v>0.25719769673704262</v>
      </c>
      <c r="BU32" s="21">
        <f t="shared" si="36"/>
        <v>4760526.3157894406</v>
      </c>
      <c r="BV32" s="13">
        <v>22.0848942715837</v>
      </c>
      <c r="BW32" s="13">
        <v>13.988862494645399</v>
      </c>
      <c r="BX32">
        <f t="shared" si="37"/>
        <v>4.8987888936480033</v>
      </c>
      <c r="BY32" s="12">
        <f t="shared" si="38"/>
        <v>0.79272639000761436</v>
      </c>
      <c r="BZ32" s="21">
        <f t="shared" si="39"/>
        <v>8936458.7299588677</v>
      </c>
      <c r="CI32">
        <v>28.171284634760699</v>
      </c>
      <c r="CJ32">
        <v>3.9157520690895899</v>
      </c>
      <c r="CK32">
        <f t="shared" si="57"/>
        <v>282.43828715365441</v>
      </c>
      <c r="CL32" s="12">
        <f t="shared" si="19"/>
        <v>0.41679034806338783</v>
      </c>
      <c r="CM32" s="21">
        <f t="shared" si="52"/>
        <v>2936814.0518171927</v>
      </c>
      <c r="CN32">
        <v>6.55465240508068</v>
      </c>
      <c r="CO32">
        <v>28.285235884715998</v>
      </c>
      <c r="CP32">
        <f t="shared" si="53"/>
        <v>17.554652405080681</v>
      </c>
      <c r="CQ32" s="21">
        <f t="shared" si="54"/>
        <v>161751215.56193101</v>
      </c>
      <c r="CR32" s="29"/>
    </row>
    <row r="33" spans="19:98" x14ac:dyDescent="0.4">
      <c r="T33" s="10"/>
      <c r="W33">
        <v>14.972646557071901</v>
      </c>
      <c r="X33">
        <v>0.15624999999999201</v>
      </c>
      <c r="Y33">
        <f t="shared" si="24"/>
        <v>62.487517369725623</v>
      </c>
      <c r="Z33" s="12">
        <f t="shared" si="2"/>
        <v>4.6728971962614434E-3</v>
      </c>
      <c r="AA33" s="21">
        <f t="shared" si="25"/>
        <v>5.8456979066649872E-2</v>
      </c>
      <c r="AB33">
        <v>22.948113207547099</v>
      </c>
      <c r="AC33">
        <v>139.991399979151</v>
      </c>
      <c r="AD33">
        <f t="shared" si="26"/>
        <v>262.7547169811304</v>
      </c>
      <c r="AE33" s="12">
        <f t="shared" si="62"/>
        <v>8.0138593108386655E-2</v>
      </c>
      <c r="AF33">
        <v>168.723342939481</v>
      </c>
      <c r="AG33">
        <v>4.1980441252893703</v>
      </c>
      <c r="AH33">
        <f t="shared" si="27"/>
        <v>-1563.639769452456</v>
      </c>
      <c r="AI33" s="12">
        <f t="shared" si="28"/>
        <v>8.7091627277189776E-2</v>
      </c>
      <c r="AJ33" s="21">
        <f t="shared" si="29"/>
        <v>52716.765535696817</v>
      </c>
      <c r="AK33">
        <v>9.0765682656826492</v>
      </c>
      <c r="AL33">
        <v>3452.5327071452498</v>
      </c>
      <c r="AM33">
        <f t="shared" si="4"/>
        <v>41.036900369003497</v>
      </c>
      <c r="AN33" s="12">
        <f t="shared" si="5"/>
        <v>0.2916021306335253</v>
      </c>
      <c r="AO33" s="21">
        <f t="shared" si="49"/>
        <v>22370.568815518178</v>
      </c>
      <c r="BM33">
        <v>22.7173913043478</v>
      </c>
      <c r="BN33">
        <v>1644.7368421052599</v>
      </c>
      <c r="BO33">
        <f t="shared" si="14"/>
        <v>20.097391304347212</v>
      </c>
      <c r="BP33" s="12">
        <f t="shared" si="15"/>
        <v>0.19685039370078719</v>
      </c>
      <c r="BQ33">
        <v>22.6</v>
      </c>
      <c r="BR33">
        <v>1171.05263157894</v>
      </c>
      <c r="BS33">
        <f t="shared" si="34"/>
        <v>17.280000000000058</v>
      </c>
      <c r="BT33" s="12">
        <f t="shared" si="35"/>
        <v>0.17082533589251347</v>
      </c>
      <c r="BU33" s="21">
        <f t="shared" si="36"/>
        <v>3161842.1052631382</v>
      </c>
      <c r="BV33" s="13">
        <v>22.0885548502667</v>
      </c>
      <c r="BW33" s="13">
        <v>15.8125316406402</v>
      </c>
      <c r="BX33">
        <f t="shared" si="37"/>
        <v>4.9866427820400077</v>
      </c>
      <c r="BY33" s="12">
        <f t="shared" si="38"/>
        <v>0.89607079411667578</v>
      </c>
      <c r="BZ33" s="21">
        <f t="shared" si="39"/>
        <v>14890569.694519887</v>
      </c>
      <c r="CI33">
        <v>28.171284634760699</v>
      </c>
      <c r="CJ33">
        <v>1.1301727240014401</v>
      </c>
      <c r="CK33">
        <f t="shared" si="57"/>
        <v>282.43828715365441</v>
      </c>
      <c r="CL33" s="12">
        <f t="shared" si="19"/>
        <v>0.12029492028534509</v>
      </c>
      <c r="CM33" s="21">
        <f t="shared" si="52"/>
        <v>847629.54300107993</v>
      </c>
      <c r="CN33">
        <v>6.5959689360665203</v>
      </c>
      <c r="CO33">
        <v>17.206807574801399</v>
      </c>
      <c r="CP33">
        <f t="shared" si="53"/>
        <v>17.595968936066519</v>
      </c>
      <c r="CQ33" s="21">
        <f t="shared" si="54"/>
        <v>20390738.618898269</v>
      </c>
      <c r="CR33" s="29"/>
    </row>
    <row r="34" spans="19:98" x14ac:dyDescent="0.4">
      <c r="W34">
        <v>15.5682382133995</v>
      </c>
      <c r="X34">
        <v>0</v>
      </c>
      <c r="Y34">
        <f t="shared" si="24"/>
        <v>76.781717121588002</v>
      </c>
      <c r="Z34" s="12">
        <f t="shared" si="2"/>
        <v>0</v>
      </c>
      <c r="AA34" s="21">
        <f t="shared" si="25"/>
        <v>1</v>
      </c>
      <c r="AF34">
        <v>169.414985590778</v>
      </c>
      <c r="AG34">
        <v>2.7240515897387398</v>
      </c>
      <c r="AH34">
        <f t="shared" si="27"/>
        <v>-1547.0403458213279</v>
      </c>
      <c r="AI34" s="12">
        <f t="shared" si="28"/>
        <v>5.6512527895596985E-2</v>
      </c>
      <c r="AJ34" s="21">
        <f t="shared" si="29"/>
        <v>8695.9451980050962</v>
      </c>
      <c r="AK34">
        <v>9.0968634686346803</v>
      </c>
      <c r="AL34">
        <v>4905.28905289052</v>
      </c>
      <c r="AM34">
        <f t="shared" si="4"/>
        <v>41.523985239852244</v>
      </c>
      <c r="AN34" s="12">
        <f t="shared" si="5"/>
        <v>0.41430244418420387</v>
      </c>
      <c r="AO34" s="21">
        <f t="shared" si="49"/>
        <v>96650.781708906798</v>
      </c>
      <c r="BM34">
        <v>22.773913043478199</v>
      </c>
      <c r="BN34">
        <v>144.73684210526301</v>
      </c>
      <c r="BO34">
        <f t="shared" si="14"/>
        <v>21.453913043476803</v>
      </c>
      <c r="BP34" s="12">
        <f t="shared" si="15"/>
        <v>1.7322834645669288E-2</v>
      </c>
      <c r="BQ34">
        <v>22.6608695652173</v>
      </c>
      <c r="BR34">
        <v>1368.4210526315701</v>
      </c>
      <c r="BS34">
        <f t="shared" si="34"/>
        <v>18.740869565215235</v>
      </c>
      <c r="BT34" s="12">
        <f t="shared" si="35"/>
        <v>0.19961612284068989</v>
      </c>
      <c r="BU34" s="21">
        <f t="shared" si="36"/>
        <v>3694736.8421052392</v>
      </c>
      <c r="BV34" s="13">
        <v>22.095019276451499</v>
      </c>
      <c r="BW34" s="13">
        <v>16.692628217609698</v>
      </c>
      <c r="BX34">
        <f t="shared" si="37"/>
        <v>5.1417890104751791</v>
      </c>
      <c r="BY34" s="12">
        <f t="shared" si="38"/>
        <v>0.94594445486544232</v>
      </c>
      <c r="BZ34" s="21">
        <f t="shared" si="39"/>
        <v>18660579.166979734</v>
      </c>
      <c r="CI34">
        <v>32.201511335012597</v>
      </c>
      <c r="CJ34">
        <v>1.19723821518531</v>
      </c>
      <c r="CK34">
        <f t="shared" si="57"/>
        <v>379.16372795969994</v>
      </c>
      <c r="CL34" s="12">
        <f t="shared" si="19"/>
        <v>0.12743333173744353</v>
      </c>
      <c r="CM34" s="21">
        <f t="shared" si="52"/>
        <v>897928.66138898255</v>
      </c>
      <c r="CN34">
        <v>7.2245325102931996</v>
      </c>
      <c r="CO34">
        <v>17.2013095334787</v>
      </c>
      <c r="CP34">
        <f t="shared" si="53"/>
        <v>18.224532510293201</v>
      </c>
      <c r="CQ34" s="21">
        <f t="shared" si="54"/>
        <v>20363604.876890872</v>
      </c>
      <c r="CR34" s="29"/>
    </row>
    <row r="35" spans="19:98" x14ac:dyDescent="0.4">
      <c r="S35">
        <f>(480+51)/(24*60)</f>
        <v>0.36875000000000002</v>
      </c>
      <c r="W35">
        <v>15.5635856079404</v>
      </c>
      <c r="X35">
        <v>32.5</v>
      </c>
      <c r="Y35">
        <f t="shared" si="24"/>
        <v>76.670054590569606</v>
      </c>
      <c r="Z35" s="12">
        <f t="shared" si="2"/>
        <v>0.9719626168224299</v>
      </c>
      <c r="AA35" s="21">
        <f t="shared" si="25"/>
        <v>266338283.94051975</v>
      </c>
      <c r="AF35">
        <v>170.337175792507</v>
      </c>
      <c r="AG35">
        <v>2.9718429631029499</v>
      </c>
      <c r="AH35">
        <f t="shared" si="27"/>
        <v>-1524.9077809798321</v>
      </c>
      <c r="AI35" s="12">
        <f t="shared" si="28"/>
        <v>6.1653148929457897E-2</v>
      </c>
      <c r="AJ35" s="21">
        <f t="shared" si="29"/>
        <v>12498.579686743144</v>
      </c>
      <c r="AK35">
        <v>9.1171586715867097</v>
      </c>
      <c r="AL35">
        <v>0</v>
      </c>
      <c r="AM35">
        <f t="shared" si="4"/>
        <v>42.011070110700949</v>
      </c>
      <c r="AN35" s="12">
        <f t="shared" si="5"/>
        <v>0</v>
      </c>
      <c r="AO35" s="21">
        <f t="shared" si="49"/>
        <v>1</v>
      </c>
      <c r="BM35">
        <v>22.8391304347826</v>
      </c>
      <c r="BN35">
        <v>578.94736842105101</v>
      </c>
      <c r="BO35">
        <f t="shared" si="14"/>
        <v>23.019130434782426</v>
      </c>
      <c r="BP35" s="12">
        <f t="shared" si="15"/>
        <v>6.9291338582677039E-2</v>
      </c>
      <c r="BQ35">
        <v>22.673913043478201</v>
      </c>
      <c r="BR35">
        <v>2118.4210526315701</v>
      </c>
      <c r="BS35">
        <f t="shared" si="34"/>
        <v>19.053913043476854</v>
      </c>
      <c r="BT35" s="12">
        <f t="shared" si="35"/>
        <v>0.30902111324376103</v>
      </c>
      <c r="BU35" s="21">
        <f t="shared" si="36"/>
        <v>5719736.8421052396</v>
      </c>
      <c r="BV35" s="13">
        <v>22.1071108688033</v>
      </c>
      <c r="BW35" s="13">
        <v>15.7484715136882</v>
      </c>
      <c r="BX35">
        <f t="shared" si="37"/>
        <v>5.4319872269184089</v>
      </c>
      <c r="BY35" s="12">
        <f t="shared" si="38"/>
        <v>0.89244060951792614</v>
      </c>
      <c r="BZ35" s="21">
        <f t="shared" si="39"/>
        <v>14640822.899169244</v>
      </c>
      <c r="CI35">
        <v>32.201511335012597</v>
      </c>
      <c r="CJ35">
        <v>0</v>
      </c>
      <c r="CK35">
        <f t="shared" si="57"/>
        <v>379.16372795969994</v>
      </c>
      <c r="CL35" s="12">
        <f t="shared" si="19"/>
        <v>0</v>
      </c>
      <c r="CM35" s="21">
        <f t="shared" si="52"/>
        <v>1</v>
      </c>
      <c r="CN35">
        <v>8.1099170920359498</v>
      </c>
      <c r="CO35">
        <v>16.970516753406599</v>
      </c>
      <c r="CP35">
        <f t="shared" si="53"/>
        <v>19.10991709203595</v>
      </c>
      <c r="CQ35" s="21">
        <f t="shared" si="54"/>
        <v>19249131.723756131</v>
      </c>
      <c r="CR35" s="29"/>
    </row>
    <row r="36" spans="19:98" x14ac:dyDescent="0.4">
      <c r="W36">
        <v>15.607901674937899</v>
      </c>
      <c r="X36">
        <v>33.4375</v>
      </c>
      <c r="Y36">
        <f t="shared" si="24"/>
        <v>77.73364019850959</v>
      </c>
      <c r="Z36" s="12">
        <f t="shared" si="2"/>
        <v>1</v>
      </c>
      <c r="AA36" s="21">
        <f t="shared" si="25"/>
        <v>299842891.387914</v>
      </c>
      <c r="AF36">
        <v>171.835734870317</v>
      </c>
      <c r="AG36">
        <v>3.2208154202296</v>
      </c>
      <c r="AH36">
        <f t="shared" si="27"/>
        <v>-1488.9423631123921</v>
      </c>
      <c r="AI36" s="12">
        <f t="shared" si="28"/>
        <v>6.6818272446797222E-2</v>
      </c>
      <c r="AJ36" s="21">
        <f t="shared" si="29"/>
        <v>17476.07553560059</v>
      </c>
      <c r="AK36">
        <v>9.1983394833948307</v>
      </c>
      <c r="AL36">
        <v>47.858660404784999</v>
      </c>
      <c r="AM36">
        <f t="shared" ref="AM36:AM56" si="66">(AK36-MIN(AK$4:AK$56))*24</f>
        <v>43.959409594095852</v>
      </c>
      <c r="AN36" s="12">
        <f t="shared" ref="AN36:AN56" si="67">AL36/MAX(AL$4:AL$56)</f>
        <v>4.042159344187936E-3</v>
      </c>
      <c r="AO36" s="21">
        <f t="shared" si="49"/>
        <v>4.0482913776602341E-4</v>
      </c>
      <c r="BM36">
        <v>23.165217391304299</v>
      </c>
      <c r="BN36">
        <v>736.84210526315803</v>
      </c>
      <c r="BO36">
        <f t="shared" si="14"/>
        <v>30.845217391303208</v>
      </c>
      <c r="BP36" s="12">
        <f t="shared" si="15"/>
        <v>8.8188976377952852E-2</v>
      </c>
      <c r="BQ36">
        <v>22.7695652173913</v>
      </c>
      <c r="BR36">
        <v>26.3157894736832</v>
      </c>
      <c r="BS36">
        <f t="shared" si="34"/>
        <v>21.349565217391216</v>
      </c>
      <c r="BT36" s="12">
        <f t="shared" si="35"/>
        <v>3.8387715930900674E-3</v>
      </c>
      <c r="BU36" s="21">
        <f t="shared" si="36"/>
        <v>71052.631578944638</v>
      </c>
      <c r="BV36" s="13">
        <v>22.106779859028698</v>
      </c>
      <c r="BW36" s="13">
        <v>14.6793099419759</v>
      </c>
      <c r="BX36">
        <f t="shared" si="37"/>
        <v>5.4240429923279692</v>
      </c>
      <c r="BY36" s="12">
        <f t="shared" si="38"/>
        <v>0.83185293890476641</v>
      </c>
      <c r="BZ36" s="21">
        <f t="shared" si="39"/>
        <v>10923092.642188128</v>
      </c>
      <c r="CR36" s="29"/>
      <c r="CT36" s="30"/>
    </row>
    <row r="37" spans="19:98" x14ac:dyDescent="0.4">
      <c r="W37">
        <v>15.660417959057</v>
      </c>
      <c r="X37">
        <v>32.34375</v>
      </c>
      <c r="Y37">
        <f t="shared" si="24"/>
        <v>78.994031017368002</v>
      </c>
      <c r="Z37" s="12">
        <f t="shared" si="2"/>
        <v>0.96728971962616828</v>
      </c>
      <c r="AA37" s="21">
        <f t="shared" si="25"/>
        <v>261043454.2353127</v>
      </c>
      <c r="AF37">
        <v>173.334293948126</v>
      </c>
      <c r="AG37">
        <v>3.2238862380120001</v>
      </c>
      <c r="AH37">
        <f t="shared" si="27"/>
        <v>-1452.9769452449759</v>
      </c>
      <c r="AI37" s="12">
        <f t="shared" si="28"/>
        <v>6.6881978903842274E-2</v>
      </c>
      <c r="AJ37" s="21">
        <f t="shared" si="29"/>
        <v>17545.606210833448</v>
      </c>
      <c r="AK37">
        <v>9.2084870848708498</v>
      </c>
      <c r="AL37">
        <v>895.44895448954401</v>
      </c>
      <c r="AM37">
        <f t="shared" si="66"/>
        <v>44.202952029520311</v>
      </c>
      <c r="AN37" s="12">
        <f t="shared" si="67"/>
        <v>7.5629934645461555E-2</v>
      </c>
      <c r="AO37" s="21">
        <f t="shared" si="49"/>
        <v>80.836281560236117</v>
      </c>
      <c r="BM37">
        <v>23.204347826086899</v>
      </c>
      <c r="BN37">
        <v>302.63157894736798</v>
      </c>
      <c r="BO37">
        <f t="shared" si="14"/>
        <v>31.784347826085593</v>
      </c>
      <c r="BP37" s="12">
        <f t="shared" si="15"/>
        <v>3.6220472440944861E-2</v>
      </c>
      <c r="BQ37">
        <v>22.830434782608599</v>
      </c>
      <c r="BR37">
        <v>65.789473684209895</v>
      </c>
      <c r="BS37">
        <f t="shared" si="34"/>
        <v>22.810434782606393</v>
      </c>
      <c r="BT37" s="12">
        <f t="shared" si="35"/>
        <v>9.5969289827254455E-3</v>
      </c>
      <c r="BU37" s="21">
        <f t="shared" si="36"/>
        <v>177631.57894736671</v>
      </c>
      <c r="BV37" s="13">
        <v>22.119144047665401</v>
      </c>
      <c r="BW37" s="13">
        <v>14.615639238288001</v>
      </c>
      <c r="BX37">
        <f t="shared" si="37"/>
        <v>5.7207835196088297</v>
      </c>
      <c r="BY37" s="12">
        <f t="shared" si="38"/>
        <v>0.82824482229749596</v>
      </c>
      <c r="BZ37" s="21">
        <f t="shared" si="39"/>
        <v>10727034.482596261</v>
      </c>
      <c r="CR37" s="29"/>
    </row>
    <row r="38" spans="19:98" x14ac:dyDescent="0.4">
      <c r="W38">
        <v>15.6836809863523</v>
      </c>
      <c r="X38">
        <v>29.84375</v>
      </c>
      <c r="Y38">
        <f t="shared" si="24"/>
        <v>79.552343672455208</v>
      </c>
      <c r="Z38" s="12">
        <f t="shared" si="2"/>
        <v>0.89252336448598135</v>
      </c>
      <c r="AA38" s="21">
        <f t="shared" si="25"/>
        <v>186699031.49535906</v>
      </c>
      <c r="AF38">
        <v>173.79538904899101</v>
      </c>
      <c r="AG38">
        <v>3.71663438371049</v>
      </c>
      <c r="AH38">
        <f t="shared" si="27"/>
        <v>-1441.9106628242157</v>
      </c>
      <c r="AI38" s="12">
        <f t="shared" si="28"/>
        <v>7.7104415011214344E-2</v>
      </c>
      <c r="AJ38" s="21">
        <f t="shared" si="29"/>
        <v>31735.396444834438</v>
      </c>
      <c r="AK38">
        <v>9.2389298892988894</v>
      </c>
      <c r="AL38">
        <v>1377.6137761377599</v>
      </c>
      <c r="AM38">
        <f t="shared" si="66"/>
        <v>44.933579335793262</v>
      </c>
      <c r="AN38" s="12">
        <f t="shared" si="67"/>
        <v>0.11635374560840238</v>
      </c>
      <c r="AO38" s="21">
        <f t="shared" si="49"/>
        <v>486.55731763971698</v>
      </c>
      <c r="BM38">
        <v>23.2869565217391</v>
      </c>
      <c r="BN38">
        <v>263.15789473684299</v>
      </c>
      <c r="BO38">
        <f t="shared" si="14"/>
        <v>33.766956521738422</v>
      </c>
      <c r="BP38" s="12">
        <f t="shared" si="15"/>
        <v>3.1496062992126116E-2</v>
      </c>
      <c r="BQ38">
        <v>22.8608695652173</v>
      </c>
      <c r="BR38">
        <v>381.57894736841899</v>
      </c>
      <c r="BS38">
        <f t="shared" si="34"/>
        <v>23.540869565215218</v>
      </c>
      <c r="BT38" s="12">
        <f t="shared" si="35"/>
        <v>5.5662188099807816E-2</v>
      </c>
      <c r="BU38" s="21">
        <f t="shared" si="36"/>
        <v>1030263.1578947313</v>
      </c>
      <c r="BV38" s="13">
        <v>22.1220063086568</v>
      </c>
      <c r="BW38" s="13">
        <v>13.8607422407414</v>
      </c>
      <c r="BX38">
        <f t="shared" si="37"/>
        <v>5.7894777834024183</v>
      </c>
      <c r="BY38" s="12">
        <f t="shared" si="38"/>
        <v>0.78546602081011507</v>
      </c>
      <c r="BZ38" s="21">
        <f t="shared" si="39"/>
        <v>8600343.8017420005</v>
      </c>
      <c r="CR38" s="29"/>
    </row>
    <row r="39" spans="19:98" x14ac:dyDescent="0.4">
      <c r="W39">
        <v>15.795750620347301</v>
      </c>
      <c r="X39">
        <v>28.75</v>
      </c>
      <c r="Y39">
        <f t="shared" si="24"/>
        <v>82.24201488833522</v>
      </c>
      <c r="Z39" s="12">
        <f t="shared" si="2"/>
        <v>0.85981308411214952</v>
      </c>
      <c r="AA39" s="21">
        <f t="shared" si="25"/>
        <v>159800192.22148189</v>
      </c>
      <c r="AF39">
        <v>174.256484149855</v>
      </c>
      <c r="AG39">
        <v>4.4552841687532503</v>
      </c>
      <c r="AH39">
        <f t="shared" si="27"/>
        <v>-1430.84438040348</v>
      </c>
      <c r="AI39" s="12">
        <f t="shared" si="28"/>
        <v>9.2428268178881126E-2</v>
      </c>
      <c r="AJ39" s="21">
        <f t="shared" si="29"/>
        <v>67540.945054520882</v>
      </c>
      <c r="AK39">
        <v>9.25415129151291</v>
      </c>
      <c r="AL39">
        <v>2224.75679302247</v>
      </c>
      <c r="AM39">
        <f t="shared" si="66"/>
        <v>45.298892988929758</v>
      </c>
      <c r="AN39" s="12">
        <f t="shared" si="67"/>
        <v>0.18790374371954305</v>
      </c>
      <c r="AO39" s="21">
        <f t="shared" si="49"/>
        <v>3584.6501555640284</v>
      </c>
      <c r="BM39">
        <v>23.3217391304347</v>
      </c>
      <c r="BN39">
        <v>381.57894736841899</v>
      </c>
      <c r="BO39">
        <f t="shared" si="14"/>
        <v>34.601739130432833</v>
      </c>
      <c r="BP39" s="12">
        <f t="shared" si="15"/>
        <v>4.5669291338582468E-2</v>
      </c>
      <c r="BQ39">
        <v>22.921739130434698</v>
      </c>
      <c r="BR39">
        <v>421.052631578942</v>
      </c>
      <c r="BS39">
        <f t="shared" si="34"/>
        <v>25.001739130432782</v>
      </c>
      <c r="BT39" s="12">
        <f t="shared" si="35"/>
        <v>6.1420345489442654E-2</v>
      </c>
      <c r="BU39" s="21">
        <f t="shared" si="36"/>
        <v>1136842.1052631433</v>
      </c>
      <c r="BV39" s="13">
        <v>22.134136843335</v>
      </c>
      <c r="BW39" s="13">
        <v>13.042369251139</v>
      </c>
      <c r="BX39">
        <f t="shared" si="37"/>
        <v>6.0806106156792055</v>
      </c>
      <c r="BY39" s="12">
        <f t="shared" si="38"/>
        <v>0.73909013671120616</v>
      </c>
      <c r="BZ39" s="21">
        <f t="shared" si="39"/>
        <v>6674071.1274428777</v>
      </c>
      <c r="CR39" s="29"/>
    </row>
    <row r="40" spans="19:98" x14ac:dyDescent="0.4">
      <c r="W40">
        <v>15.8410553660049</v>
      </c>
      <c r="X40">
        <v>27.03125</v>
      </c>
      <c r="Y40">
        <f t="shared" si="24"/>
        <v>83.329328784117607</v>
      </c>
      <c r="Z40" s="12">
        <f t="shared" si="2"/>
        <v>0.80841121495327106</v>
      </c>
      <c r="AA40" s="21">
        <f t="shared" si="25"/>
        <v>123602844.26224628</v>
      </c>
      <c r="AF40">
        <v>174.48703170028799</v>
      </c>
      <c r="AG40">
        <v>2.73444512684839</v>
      </c>
      <c r="AH40">
        <f t="shared" si="27"/>
        <v>-1425.3112391930883</v>
      </c>
      <c r="AI40" s="12">
        <f t="shared" si="28"/>
        <v>5.6728149750210746E-2</v>
      </c>
      <c r="AJ40" s="21">
        <f t="shared" si="29"/>
        <v>8835.0289952306102</v>
      </c>
      <c r="AK40">
        <v>9.2795202952029499</v>
      </c>
      <c r="AL40">
        <v>2222.5204070222499</v>
      </c>
      <c r="AM40">
        <f t="shared" si="66"/>
        <v>45.907749077490713</v>
      </c>
      <c r="AN40" s="12">
        <f t="shared" si="67"/>
        <v>0.18771485776888033</v>
      </c>
      <c r="AO40" s="21">
        <f t="shared" si="49"/>
        <v>3569.6599191159521</v>
      </c>
      <c r="BM40">
        <v>23.4130434782608</v>
      </c>
      <c r="BN40">
        <v>263.15789473684299</v>
      </c>
      <c r="BO40">
        <f t="shared" si="14"/>
        <v>36.793043478259222</v>
      </c>
      <c r="BP40" s="12">
        <f t="shared" si="15"/>
        <v>3.1496062992126116E-2</v>
      </c>
      <c r="BQ40">
        <v>23</v>
      </c>
      <c r="BR40">
        <v>460.52631578947302</v>
      </c>
      <c r="BS40">
        <f t="shared" si="34"/>
        <v>26.880000000000024</v>
      </c>
      <c r="BT40" s="12">
        <f t="shared" si="35"/>
        <v>6.7178502879078658E-2</v>
      </c>
      <c r="BU40" s="21">
        <f t="shared" si="36"/>
        <v>1243421.0526315772</v>
      </c>
      <c r="BV40" s="13">
        <v>22.136960162000001</v>
      </c>
      <c r="BW40" s="13">
        <v>12.1616885392733</v>
      </c>
      <c r="BX40">
        <f t="shared" si="37"/>
        <v>6.1483702636392366</v>
      </c>
      <c r="BY40" s="12">
        <f t="shared" si="38"/>
        <v>0.68918337397521789</v>
      </c>
      <c r="BZ40" s="21">
        <f t="shared" si="39"/>
        <v>4987465.8629741129</v>
      </c>
      <c r="CR40" s="29"/>
    </row>
    <row r="41" spans="19:98" x14ac:dyDescent="0.4">
      <c r="W41">
        <v>15.886999844913101</v>
      </c>
      <c r="X41">
        <v>23.59375</v>
      </c>
      <c r="Y41">
        <f t="shared" si="24"/>
        <v>84.431996277914422</v>
      </c>
      <c r="Z41" s="12">
        <f t="shared" si="2"/>
        <v>0.70560747663551404</v>
      </c>
      <c r="AA41" s="21">
        <f t="shared" si="25"/>
        <v>70130507.534650877</v>
      </c>
      <c r="AF41">
        <v>174.71757925072001</v>
      </c>
      <c r="AG41">
        <v>0.76770444559928497</v>
      </c>
      <c r="AH41">
        <f t="shared" si="27"/>
        <v>-1419.7780979827198</v>
      </c>
      <c r="AI41" s="12">
        <f t="shared" si="28"/>
        <v>1.5926614261246204E-2</v>
      </c>
      <c r="AJ41" s="21">
        <f t="shared" si="29"/>
        <v>44.418254803302801</v>
      </c>
      <c r="AK41">
        <v>9.2947416974169705</v>
      </c>
      <c r="AL41">
        <v>5433.2997875433202</v>
      </c>
      <c r="AM41">
        <f t="shared" si="66"/>
        <v>46.27306273062721</v>
      </c>
      <c r="AN41" s="12">
        <f t="shared" si="67"/>
        <v>0.45889841713573598</v>
      </c>
      <c r="AO41" s="21">
        <f t="shared" si="49"/>
        <v>147979.47153900244</v>
      </c>
      <c r="BM41">
        <v>23.443478260869501</v>
      </c>
      <c r="BN41">
        <v>500</v>
      </c>
      <c r="BO41">
        <f t="shared" si="14"/>
        <v>37.523478260868046</v>
      </c>
      <c r="BP41" s="12">
        <f t="shared" si="15"/>
        <v>5.9842519685039425E-2</v>
      </c>
      <c r="BQ41">
        <v>23.0695652173913</v>
      </c>
      <c r="BR41">
        <v>500</v>
      </c>
      <c r="BS41">
        <f t="shared" si="34"/>
        <v>28.549565217391233</v>
      </c>
      <c r="BT41" s="12">
        <f t="shared" si="35"/>
        <v>7.2936660268714079E-2</v>
      </c>
      <c r="BU41" s="21">
        <f t="shared" si="36"/>
        <v>1350000</v>
      </c>
      <c r="BV41" s="13">
        <v>22.142782039798998</v>
      </c>
      <c r="BW41" s="13">
        <v>10.9663538299778</v>
      </c>
      <c r="BX41">
        <f t="shared" si="37"/>
        <v>6.2880953308151675</v>
      </c>
      <c r="BY41" s="12">
        <f t="shared" si="38"/>
        <v>0.62144567412197171</v>
      </c>
      <c r="BZ41" s="21">
        <f t="shared" si="39"/>
        <v>3240894.1123591075</v>
      </c>
    </row>
    <row r="42" spans="19:98" x14ac:dyDescent="0.4">
      <c r="W42">
        <v>15.9620231079404</v>
      </c>
      <c r="X42">
        <v>22.03125</v>
      </c>
      <c r="Y42">
        <f t="shared" si="24"/>
        <v>86.232554590569606</v>
      </c>
      <c r="Z42" s="12">
        <f t="shared" si="2"/>
        <v>0.65887850467289721</v>
      </c>
      <c r="AA42" s="21">
        <f t="shared" si="25"/>
        <v>52712790.113788962</v>
      </c>
      <c r="AF42">
        <v>174.948126801152</v>
      </c>
      <c r="AG42">
        <v>19.702603108612401</v>
      </c>
      <c r="AH42">
        <f t="shared" si="27"/>
        <v>-1414.244956772352</v>
      </c>
      <c r="AI42" s="12">
        <f t="shared" si="28"/>
        <v>0.40874552889731547</v>
      </c>
      <c r="AJ42" s="21">
        <f t="shared" si="29"/>
        <v>33095425.094192587</v>
      </c>
      <c r="AK42">
        <v>9.3404059040590397</v>
      </c>
      <c r="AL42">
        <v>0</v>
      </c>
      <c r="AM42">
        <f t="shared" si="66"/>
        <v>47.36900369003687</v>
      </c>
      <c r="AN42" s="12">
        <f t="shared" si="67"/>
        <v>0</v>
      </c>
      <c r="AO42" s="21">
        <f t="shared" si="49"/>
        <v>1</v>
      </c>
      <c r="BM42">
        <v>23.504347826086899</v>
      </c>
      <c r="BN42">
        <v>263.15789473684299</v>
      </c>
      <c r="BO42">
        <f t="shared" si="14"/>
        <v>38.98434782608561</v>
      </c>
      <c r="BP42" s="12">
        <f t="shared" si="15"/>
        <v>3.1496062992126116E-2</v>
      </c>
      <c r="BQ42">
        <v>23.113043478260799</v>
      </c>
      <c r="BR42">
        <v>500</v>
      </c>
      <c r="BS42">
        <f t="shared" si="34"/>
        <v>29.593043478259204</v>
      </c>
      <c r="BT42" s="12">
        <f t="shared" si="35"/>
        <v>7.2936660268714079E-2</v>
      </c>
      <c r="BU42" s="21">
        <f t="shared" si="36"/>
        <v>1350000</v>
      </c>
      <c r="BV42" s="13">
        <v>22.1457416566065</v>
      </c>
      <c r="BW42" s="13">
        <v>10.525916118228899</v>
      </c>
      <c r="BX42">
        <f t="shared" si="37"/>
        <v>6.3591261341952077</v>
      </c>
      <c r="BY42" s="12">
        <f t="shared" si="38"/>
        <v>0.59648677575610631</v>
      </c>
      <c r="BZ42" s="21">
        <f t="shared" si="39"/>
        <v>2732048.3783345181</v>
      </c>
    </row>
    <row r="43" spans="19:98" x14ac:dyDescent="0.4">
      <c r="W43">
        <v>16.118990384615302</v>
      </c>
      <c r="X43">
        <v>20.3125</v>
      </c>
      <c r="Y43">
        <f t="shared" si="24"/>
        <v>89.999769230767242</v>
      </c>
      <c r="Z43" s="12">
        <f t="shared" si="2"/>
        <v>0.60747663551401865</v>
      </c>
      <c r="AA43" s="21">
        <f t="shared" si="25"/>
        <v>37578000.637904517</v>
      </c>
      <c r="AF43">
        <v>177.02305475504301</v>
      </c>
      <c r="AG43">
        <v>19.706855010157302</v>
      </c>
      <c r="AH43">
        <f t="shared" si="27"/>
        <v>-1364.4466858789679</v>
      </c>
      <c r="AI43" s="12">
        <f t="shared" si="28"/>
        <v>0.40883373783784022</v>
      </c>
      <c r="AJ43" s="21">
        <f t="shared" si="29"/>
        <v>33125194.125614095</v>
      </c>
      <c r="AK43">
        <v>9.3505535055350499</v>
      </c>
      <c r="AL43">
        <v>1488.9857989488901</v>
      </c>
      <c r="AM43">
        <f t="shared" si="66"/>
        <v>47.612546125461115</v>
      </c>
      <c r="AN43" s="12">
        <f t="shared" si="67"/>
        <v>0.12576026595141873</v>
      </c>
      <c r="AO43" s="21">
        <f t="shared" si="49"/>
        <v>672.68772513463387</v>
      </c>
      <c r="BM43">
        <v>23.5565217391304</v>
      </c>
      <c r="BN43">
        <v>263.15789473684299</v>
      </c>
      <c r="BO43">
        <f t="shared" si="14"/>
        <v>40.236521739129614</v>
      </c>
      <c r="BP43" s="12">
        <f t="shared" si="15"/>
        <v>3.1496062992126116E-2</v>
      </c>
      <c r="BQ43">
        <v>23.147826086956499</v>
      </c>
      <c r="BR43">
        <v>539.47368421052602</v>
      </c>
      <c r="BS43">
        <f t="shared" si="34"/>
        <v>30.427826086956003</v>
      </c>
      <c r="BT43" s="12">
        <f t="shared" si="35"/>
        <v>7.8694817658349361E-2</v>
      </c>
      <c r="BU43" s="21">
        <f t="shared" si="36"/>
        <v>1456578.9473684202</v>
      </c>
      <c r="BV43" s="13">
        <v>22.161143346703501</v>
      </c>
      <c r="BW43" s="13">
        <v>10.273375131430299</v>
      </c>
      <c r="BX43">
        <f t="shared" si="37"/>
        <v>6.7287666965232233</v>
      </c>
      <c r="BY43" s="12">
        <f t="shared" si="38"/>
        <v>0.58217568328018521</v>
      </c>
      <c r="BZ43" s="21">
        <f t="shared" si="39"/>
        <v>2469127.7466542092</v>
      </c>
    </row>
    <row r="44" spans="19:98" x14ac:dyDescent="0.4">
      <c r="W44">
        <v>16.365171370967701</v>
      </c>
      <c r="X44">
        <v>18.90625</v>
      </c>
      <c r="Y44">
        <f t="shared" si="24"/>
        <v>95.908112903224833</v>
      </c>
      <c r="Z44" s="12">
        <f t="shared" si="2"/>
        <v>0.56542056074766356</v>
      </c>
      <c r="AA44" s="21">
        <f t="shared" si="25"/>
        <v>27868188.824930362</v>
      </c>
      <c r="AF44">
        <v>177.945244956772</v>
      </c>
      <c r="AG44">
        <v>19.216941465488699</v>
      </c>
      <c r="AH44">
        <f t="shared" si="27"/>
        <v>-1342.314121037472</v>
      </c>
      <c r="AI44" s="12">
        <f t="shared" si="28"/>
        <v>0.39867010769081695</v>
      </c>
      <c r="AJ44" s="21">
        <f t="shared" si="29"/>
        <v>29826619.927136753</v>
      </c>
      <c r="AK44">
        <v>9.4012915129151295</v>
      </c>
      <c r="AL44">
        <v>1181.48272391814</v>
      </c>
      <c r="AM44">
        <f t="shared" si="66"/>
        <v>48.830258302583026</v>
      </c>
      <c r="AN44" s="12">
        <f t="shared" si="67"/>
        <v>9.9788447735257482E-2</v>
      </c>
      <c r="AO44" s="21">
        <f t="shared" si="49"/>
        <v>256.57652511908759</v>
      </c>
      <c r="BM44">
        <v>23.6086956521739</v>
      </c>
      <c r="BN44">
        <v>223.68421052631601</v>
      </c>
      <c r="BO44">
        <f t="shared" si="14"/>
        <v>41.488695652173618</v>
      </c>
      <c r="BP44" s="12">
        <f t="shared" si="15"/>
        <v>2.6771653543307138E-2</v>
      </c>
      <c r="BQ44">
        <v>23.1826086956521</v>
      </c>
      <c r="BR44">
        <v>815.78947368420995</v>
      </c>
      <c r="BS44">
        <f t="shared" si="34"/>
        <v>31.262608695650414</v>
      </c>
      <c r="BT44" s="12">
        <f t="shared" si="35"/>
        <v>0.11900191938579657</v>
      </c>
      <c r="BU44" s="21">
        <f t="shared" si="36"/>
        <v>2202631.5789473667</v>
      </c>
      <c r="BV44" s="13">
        <v>22.179621480587201</v>
      </c>
      <c r="BW44" s="13">
        <v>9.9577475758401697</v>
      </c>
      <c r="BX44">
        <f t="shared" si="37"/>
        <v>7.1722419097320369</v>
      </c>
      <c r="BY44" s="12">
        <f t="shared" si="38"/>
        <v>0.56428957618422482</v>
      </c>
      <c r="BZ44" s="21">
        <f t="shared" si="39"/>
        <v>2168087.2363447933</v>
      </c>
    </row>
    <row r="45" spans="19:98" x14ac:dyDescent="0.4">
      <c r="W45">
        <v>16.701147642679899</v>
      </c>
      <c r="X45">
        <v>16.25</v>
      </c>
      <c r="Y45">
        <f t="shared" si="24"/>
        <v>103.97154342431759</v>
      </c>
      <c r="Z45" s="12">
        <f t="shared" si="2"/>
        <v>0.48598130841121495</v>
      </c>
      <c r="AA45" s="21">
        <f t="shared" si="25"/>
        <v>14830027.234644163</v>
      </c>
      <c r="AF45">
        <v>179.09798270893299</v>
      </c>
      <c r="AG45">
        <v>17.743893796948001</v>
      </c>
      <c r="AH45">
        <f t="shared" si="27"/>
        <v>-1314.6484149856083</v>
      </c>
      <c r="AI45" s="12">
        <f t="shared" si="28"/>
        <v>0.3681106102960065</v>
      </c>
      <c r="AJ45" s="21">
        <f t="shared" si="29"/>
        <v>21393908.417251006</v>
      </c>
      <c r="AK45">
        <v>9.42158671586715</v>
      </c>
      <c r="AL45">
        <v>0</v>
      </c>
      <c r="AM45">
        <f t="shared" si="66"/>
        <v>49.317343173431517</v>
      </c>
      <c r="AN45" s="12">
        <f t="shared" si="67"/>
        <v>0</v>
      </c>
      <c r="AO45" s="21">
        <f t="shared" si="49"/>
        <v>1</v>
      </c>
      <c r="BM45">
        <v>23.630434782608599</v>
      </c>
      <c r="BN45">
        <v>578.94736842105101</v>
      </c>
      <c r="BO45">
        <f t="shared" si="14"/>
        <v>42.01043478260641</v>
      </c>
      <c r="BP45" s="12">
        <f t="shared" si="15"/>
        <v>6.9291338582677039E-2</v>
      </c>
      <c r="BQ45">
        <v>23.221739130434699</v>
      </c>
      <c r="BR45">
        <v>144.736842105259</v>
      </c>
      <c r="BS45">
        <f t="shared" si="34"/>
        <v>32.201739130432799</v>
      </c>
      <c r="BT45" s="12">
        <f t="shared" si="35"/>
        <v>2.1113243761995575E-2</v>
      </c>
      <c r="BU45" s="21">
        <f t="shared" si="36"/>
        <v>390789.47368419933</v>
      </c>
      <c r="BV45" s="13">
        <v>22.183048405311698</v>
      </c>
      <c r="BW45" s="13">
        <v>11.0267144359204</v>
      </c>
      <c r="BX45">
        <f t="shared" si="37"/>
        <v>7.2544881031199679</v>
      </c>
      <c r="BY45" s="12">
        <f t="shared" si="38"/>
        <v>0.62486621280164389</v>
      </c>
      <c r="BZ45" s="21">
        <f t="shared" si="39"/>
        <v>3315871.1578931855</v>
      </c>
    </row>
    <row r="46" spans="19:98" x14ac:dyDescent="0.4">
      <c r="W46">
        <v>16.9919354838709</v>
      </c>
      <c r="X46">
        <v>15</v>
      </c>
      <c r="Y46">
        <f t="shared" si="24"/>
        <v>110.95045161290162</v>
      </c>
      <c r="Z46" s="12">
        <f t="shared" si="2"/>
        <v>0.44859813084112149</v>
      </c>
      <c r="AA46" s="21">
        <f t="shared" si="25"/>
        <v>10624288.104445392</v>
      </c>
      <c r="AF46">
        <v>179.67435158501399</v>
      </c>
      <c r="AG46">
        <v>16.7614683233334</v>
      </c>
      <c r="AH46">
        <f t="shared" si="27"/>
        <v>-1300.8155619596641</v>
      </c>
      <c r="AI46" s="12">
        <f t="shared" si="28"/>
        <v>0.34772944453830695</v>
      </c>
      <c r="AJ46" s="21">
        <f t="shared" si="29"/>
        <v>16874069.976492334</v>
      </c>
      <c r="AK46">
        <v>9.4418819188191794</v>
      </c>
      <c r="AL46">
        <v>3905.1772335905098</v>
      </c>
      <c r="AM46">
        <f t="shared" si="66"/>
        <v>49.804428044280222</v>
      </c>
      <c r="AN46" s="12">
        <f t="shared" si="67"/>
        <v>0.32983264704771431</v>
      </c>
      <c r="AO46" s="21">
        <f t="shared" si="49"/>
        <v>37377.131980387632</v>
      </c>
      <c r="BM46">
        <v>23.673913043478201</v>
      </c>
      <c r="BN46">
        <v>144.73684210526301</v>
      </c>
      <c r="BO46">
        <f t="shared" si="14"/>
        <v>43.053913043476854</v>
      </c>
      <c r="BP46" s="12">
        <f t="shared" si="15"/>
        <v>1.7322834645669288E-2</v>
      </c>
      <c r="BQ46">
        <v>23.4</v>
      </c>
      <c r="BR46">
        <v>105.263157894736</v>
      </c>
      <c r="BS46">
        <f t="shared" si="34"/>
        <v>36.47999999999999</v>
      </c>
      <c r="BT46" s="12">
        <f t="shared" si="35"/>
        <v>1.5355086372360736E-2</v>
      </c>
      <c r="BU46" s="21">
        <f t="shared" si="36"/>
        <v>284210.52631578717</v>
      </c>
      <c r="BV46" s="13">
        <v>22.189493360333302</v>
      </c>
      <c r="BW46" s="13">
        <v>11.843919155730299</v>
      </c>
      <c r="BX46">
        <f t="shared" si="37"/>
        <v>7.4091670236384459</v>
      </c>
      <c r="BY46" s="12">
        <f t="shared" si="38"/>
        <v>0.67117589292610391</v>
      </c>
      <c r="BZ46" s="21">
        <f t="shared" si="39"/>
        <v>4466524.8908911757</v>
      </c>
    </row>
    <row r="47" spans="19:98" x14ac:dyDescent="0.4">
      <c r="AF47">
        <v>180.02017291066201</v>
      </c>
      <c r="AG47">
        <v>15.286767137525301</v>
      </c>
      <c r="AH47">
        <f t="shared" si="27"/>
        <v>-1292.5158501441117</v>
      </c>
      <c r="AI47" s="12">
        <f t="shared" si="28"/>
        <v>0.317135643666627</v>
      </c>
      <c r="AJ47" s="21">
        <f t="shared" si="29"/>
        <v>11496565.94923676</v>
      </c>
      <c r="AK47">
        <v>9.4723247232472296</v>
      </c>
      <c r="AL47">
        <v>0</v>
      </c>
      <c r="AM47">
        <f t="shared" si="66"/>
        <v>50.535055350553428</v>
      </c>
      <c r="AN47" s="12">
        <f t="shared" si="67"/>
        <v>0</v>
      </c>
      <c r="AO47" s="21">
        <f t="shared" si="49"/>
        <v>1</v>
      </c>
      <c r="BM47">
        <v>23.730434782608601</v>
      </c>
      <c r="BN47">
        <v>65.789473684209895</v>
      </c>
      <c r="BO47">
        <f t="shared" si="14"/>
        <v>44.410434782606444</v>
      </c>
      <c r="BP47" s="12">
        <f t="shared" si="15"/>
        <v>7.8740157480314283E-3</v>
      </c>
      <c r="BQ47">
        <v>23.426086956521701</v>
      </c>
      <c r="BR47">
        <v>105.263157894736</v>
      </c>
      <c r="BS47">
        <f t="shared" si="34"/>
        <v>37.106086956520841</v>
      </c>
      <c r="BT47" s="12">
        <f t="shared" si="35"/>
        <v>1.5355086372360736E-2</v>
      </c>
      <c r="BU47" s="21">
        <f t="shared" si="36"/>
        <v>284210.52631578717</v>
      </c>
      <c r="BV47" s="13">
        <v>22.189863312434198</v>
      </c>
      <c r="BW47" s="13">
        <v>13.038864441761699</v>
      </c>
      <c r="BX47">
        <f t="shared" si="37"/>
        <v>7.4180458740599704</v>
      </c>
      <c r="BY47" s="12">
        <f t="shared" si="38"/>
        <v>0.73889152478787101</v>
      </c>
      <c r="BZ47" s="21">
        <f t="shared" si="39"/>
        <v>6666601.4351469642</v>
      </c>
    </row>
    <row r="48" spans="19:98" x14ac:dyDescent="0.4">
      <c r="AF48">
        <v>180.82708933717501</v>
      </c>
      <c r="AG48">
        <v>13.8130108187272</v>
      </c>
      <c r="AH48">
        <f t="shared" si="27"/>
        <v>-1273.1498559077997</v>
      </c>
      <c r="AI48" s="12">
        <f t="shared" si="28"/>
        <v>0.28656144478173079</v>
      </c>
      <c r="AJ48" s="21">
        <f t="shared" si="29"/>
        <v>7535655.90935231</v>
      </c>
      <c r="AK48">
        <v>9.4824723247232399</v>
      </c>
      <c r="AL48">
        <v>1962.2050765962199</v>
      </c>
      <c r="AM48">
        <f t="shared" si="66"/>
        <v>50.778597785977674</v>
      </c>
      <c r="AN48" s="12">
        <f t="shared" si="67"/>
        <v>0.16572853311170832</v>
      </c>
      <c r="AO48" s="21">
        <f t="shared" si="49"/>
        <v>2124.2444871184989</v>
      </c>
      <c r="BM48">
        <v>23.782608695652101</v>
      </c>
      <c r="BN48">
        <v>65.789473684209895</v>
      </c>
      <c r="BO48">
        <f t="shared" si="14"/>
        <v>45.662608695650448</v>
      </c>
      <c r="BP48" s="12">
        <f t="shared" si="15"/>
        <v>7.8740157480314283E-3</v>
      </c>
      <c r="BQ48">
        <v>23.439130434782601</v>
      </c>
      <c r="BR48">
        <v>618.421052631576</v>
      </c>
      <c r="BS48">
        <f t="shared" si="34"/>
        <v>37.41913043478246</v>
      </c>
      <c r="BT48" s="12">
        <f t="shared" si="35"/>
        <v>9.0211132437619621E-2</v>
      </c>
      <c r="BU48" s="21">
        <f t="shared" si="36"/>
        <v>1669736.8421052552</v>
      </c>
      <c r="BV48" s="13">
        <v>22.196288796292599</v>
      </c>
      <c r="BW48" s="13">
        <v>13.793177304412101</v>
      </c>
      <c r="BX48">
        <f t="shared" si="37"/>
        <v>7.5722574866615844</v>
      </c>
      <c r="BY48" s="12">
        <f t="shared" si="38"/>
        <v>0.7816372242880304</v>
      </c>
      <c r="BZ48" s="21">
        <f t="shared" si="39"/>
        <v>8427008.7378978878</v>
      </c>
    </row>
    <row r="49" spans="32:78" x14ac:dyDescent="0.4">
      <c r="AF49">
        <v>181.97982708933699</v>
      </c>
      <c r="AG49">
        <v>13.3235697075636</v>
      </c>
      <c r="AH49">
        <f t="shared" si="27"/>
        <v>-1245.4841498559122</v>
      </c>
      <c r="AI49" s="12">
        <f t="shared" si="28"/>
        <v>0.27640761562809946</v>
      </c>
      <c r="AJ49" s="21">
        <f t="shared" si="29"/>
        <v>6483936.5054896567</v>
      </c>
      <c r="AK49">
        <v>9.4926199261992608</v>
      </c>
      <c r="AL49">
        <v>2567.3711282567301</v>
      </c>
      <c r="AM49">
        <f t="shared" si="66"/>
        <v>51.022140221402175</v>
      </c>
      <c r="AN49" s="12">
        <f t="shared" si="67"/>
        <v>0.21684107136111316</v>
      </c>
      <c r="AO49" s="21">
        <f t="shared" si="49"/>
        <v>6510.8682623887344</v>
      </c>
      <c r="BM49">
        <v>23.852173913043401</v>
      </c>
      <c r="BN49">
        <v>184.21052631578999</v>
      </c>
      <c r="BO49">
        <f t="shared" si="14"/>
        <v>47.332173913041657</v>
      </c>
      <c r="BP49" s="12">
        <f t="shared" si="15"/>
        <v>2.2047244094488272E-2</v>
      </c>
      <c r="BQ49">
        <v>23.456521739130402</v>
      </c>
      <c r="BR49">
        <v>105.263157894736</v>
      </c>
      <c r="BS49">
        <f t="shared" si="34"/>
        <v>37.836521739129665</v>
      </c>
      <c r="BT49" s="12">
        <f t="shared" si="35"/>
        <v>1.5355086372360736E-2</v>
      </c>
      <c r="BU49" s="21">
        <f t="shared" si="36"/>
        <v>284210.52631578717</v>
      </c>
      <c r="BV49" s="13">
        <v>22.196892402352098</v>
      </c>
      <c r="BW49" s="13">
        <v>15.7428248763581</v>
      </c>
      <c r="BX49">
        <f t="shared" si="37"/>
        <v>7.5867440320895696</v>
      </c>
      <c r="BY49" s="12">
        <f t="shared" si="38"/>
        <v>0.8921206236414414</v>
      </c>
      <c r="BZ49" s="21">
        <f t="shared" si="39"/>
        <v>14618962.445360493</v>
      </c>
    </row>
    <row r="50" spans="32:78" x14ac:dyDescent="0.4">
      <c r="AF50">
        <v>182.90201729106599</v>
      </c>
      <c r="AG50">
        <v>12.833656162895</v>
      </c>
      <c r="AH50">
        <f t="shared" si="27"/>
        <v>-1223.3515850144163</v>
      </c>
      <c r="AI50" s="12">
        <f t="shared" si="28"/>
        <v>0.26624398548107631</v>
      </c>
      <c r="AJ50" s="21">
        <f t="shared" si="29"/>
        <v>5546847.9091515942</v>
      </c>
      <c r="AK50">
        <v>9.5281365313653108</v>
      </c>
      <c r="AL50">
        <v>9230.9068545230803</v>
      </c>
      <c r="AM50">
        <f t="shared" si="66"/>
        <v>51.874538745387376</v>
      </c>
      <c r="AN50" s="12">
        <f t="shared" si="67"/>
        <v>0.77964564995656105</v>
      </c>
      <c r="AO50" s="21">
        <f t="shared" si="49"/>
        <v>1346752.2929520919</v>
      </c>
      <c r="BM50">
        <v>23.986956521739099</v>
      </c>
      <c r="BN50">
        <v>342.10526315789502</v>
      </c>
      <c r="BO50">
        <f t="shared" si="14"/>
        <v>50.566956521738405</v>
      </c>
      <c r="BP50" s="12">
        <f t="shared" si="15"/>
        <v>4.0944881889763848E-2</v>
      </c>
      <c r="BQ50">
        <v>23.486956521739099</v>
      </c>
      <c r="BR50">
        <v>184.21052631578601</v>
      </c>
      <c r="BS50">
        <f t="shared" si="34"/>
        <v>38.566956521738405</v>
      </c>
      <c r="BT50" s="12">
        <f t="shared" si="35"/>
        <v>2.6871401151630999E-2</v>
      </c>
      <c r="BU50" s="21">
        <f t="shared" si="36"/>
        <v>497368.42105262226</v>
      </c>
      <c r="BV50" s="13">
        <v>22.203045289925601</v>
      </c>
      <c r="BW50" s="13">
        <v>15.616651738774801</v>
      </c>
      <c r="BX50">
        <f t="shared" si="37"/>
        <v>7.7344133338536381</v>
      </c>
      <c r="BY50" s="12">
        <f t="shared" si="38"/>
        <v>0.88497059440134929</v>
      </c>
      <c r="BZ50" s="21">
        <f t="shared" si="39"/>
        <v>14136930.987776401</v>
      </c>
    </row>
    <row r="51" spans="32:78" x14ac:dyDescent="0.4">
      <c r="AF51">
        <v>184.40057636887599</v>
      </c>
      <c r="AG51">
        <v>10.869513865923301</v>
      </c>
      <c r="AH51">
        <f t="shared" si="27"/>
        <v>-1187.3861671469763</v>
      </c>
      <c r="AI51" s="12">
        <f t="shared" si="28"/>
        <v>0.22549635545576507</v>
      </c>
      <c r="AJ51" s="21">
        <f t="shared" si="29"/>
        <v>2776270.4048392274</v>
      </c>
      <c r="AK51">
        <v>9.5585793357933504</v>
      </c>
      <c r="AL51">
        <v>4622.1625852622101</v>
      </c>
      <c r="AM51">
        <f t="shared" si="66"/>
        <v>52.605166051660326</v>
      </c>
      <c r="AN51" s="12">
        <f t="shared" si="67"/>
        <v>0.39038948283026942</v>
      </c>
      <c r="AO51" s="21">
        <f t="shared" si="49"/>
        <v>75443.980623460899</v>
      </c>
      <c r="BQ51">
        <v>23.5173913043478</v>
      </c>
      <c r="BR51">
        <v>342.10526315789298</v>
      </c>
      <c r="BS51">
        <f t="shared" si="34"/>
        <v>39.297391304347229</v>
      </c>
      <c r="BT51" s="12">
        <f t="shared" si="35"/>
        <v>4.9904030710172534E-2</v>
      </c>
      <c r="BU51" s="21">
        <f t="shared" si="36"/>
        <v>923684.21052631107</v>
      </c>
      <c r="BV51" s="13">
        <v>22.2092955333151</v>
      </c>
      <c r="BW51" s="13">
        <v>15.8049378869893</v>
      </c>
      <c r="BX51">
        <f t="shared" si="37"/>
        <v>7.8844191752016002</v>
      </c>
      <c r="BY51" s="12">
        <f t="shared" si="38"/>
        <v>0.89564046828277832</v>
      </c>
      <c r="BZ51" s="21">
        <f t="shared" si="39"/>
        <v>14860796.534536107</v>
      </c>
    </row>
    <row r="52" spans="32:78" x14ac:dyDescent="0.4">
      <c r="AF52">
        <v>184.976945244956</v>
      </c>
      <c r="AG52">
        <v>11.362498228374299</v>
      </c>
      <c r="AH52">
        <f t="shared" si="27"/>
        <v>-1173.553314121056</v>
      </c>
      <c r="AI52" s="12">
        <f t="shared" si="28"/>
        <v>0.23572369205983326</v>
      </c>
      <c r="AJ52" s="21">
        <f t="shared" si="29"/>
        <v>3339851.9210001011</v>
      </c>
      <c r="AK52">
        <v>9.5890221402214006</v>
      </c>
      <c r="AL52">
        <v>7831.6001341831497</v>
      </c>
      <c r="AM52">
        <f t="shared" si="66"/>
        <v>53.335793357933532</v>
      </c>
      <c r="AN52" s="12">
        <f t="shared" si="67"/>
        <v>0.66145971062672759</v>
      </c>
      <c r="AO52" s="21">
        <f t="shared" si="49"/>
        <v>678911.69858082652</v>
      </c>
      <c r="BQ52">
        <v>23.6</v>
      </c>
      <c r="BR52">
        <v>381.57894736841899</v>
      </c>
      <c r="BS52">
        <f t="shared" si="34"/>
        <v>41.280000000000058</v>
      </c>
      <c r="BT52" s="12">
        <f t="shared" si="35"/>
        <v>5.5662188099807816E-2</v>
      </c>
      <c r="BU52" s="21">
        <f t="shared" si="36"/>
        <v>1030263.1578947313</v>
      </c>
      <c r="BV52" s="13">
        <v>22.212625102223601</v>
      </c>
      <c r="BW52" s="13">
        <v>16.5594454612718</v>
      </c>
      <c r="BX52">
        <f t="shared" si="37"/>
        <v>7.9643288290056375</v>
      </c>
      <c r="BY52" s="12">
        <f t="shared" si="38"/>
        <v>0.93839720177868002</v>
      </c>
      <c r="BZ52" s="21">
        <f t="shared" si="39"/>
        <v>18048020.280646887</v>
      </c>
    </row>
    <row r="53" spans="32:78" x14ac:dyDescent="0.4">
      <c r="AF53">
        <v>185.553314121037</v>
      </c>
      <c r="AG53">
        <v>11.363679312136799</v>
      </c>
      <c r="AH53">
        <f t="shared" si="27"/>
        <v>-1159.7204610951119</v>
      </c>
      <c r="AI53" s="12">
        <f t="shared" si="28"/>
        <v>0.23574819454331292</v>
      </c>
      <c r="AJ53" s="21">
        <f t="shared" si="29"/>
        <v>3341298.6737503139</v>
      </c>
      <c r="AK53">
        <v>9.6042435424354196</v>
      </c>
      <c r="AL53">
        <v>0</v>
      </c>
      <c r="AM53">
        <f t="shared" si="66"/>
        <v>53.701107011069986</v>
      </c>
      <c r="AN53" s="12">
        <f t="shared" si="67"/>
        <v>0</v>
      </c>
      <c r="AO53" s="21">
        <f t="shared" si="49"/>
        <v>1</v>
      </c>
      <c r="BQ53">
        <v>23.621739130434701</v>
      </c>
      <c r="BR53">
        <v>105.263157894736</v>
      </c>
      <c r="BS53">
        <f t="shared" si="34"/>
        <v>41.80173913043285</v>
      </c>
      <c r="BT53" s="12">
        <f t="shared" si="35"/>
        <v>1.5355086372360736E-2</v>
      </c>
      <c r="BU53" s="21">
        <f t="shared" si="36"/>
        <v>284210.52631578717</v>
      </c>
      <c r="BV53" s="13">
        <v>22.218583278164999</v>
      </c>
      <c r="BW53" s="13">
        <v>15.8043537520931</v>
      </c>
      <c r="BX53">
        <f t="shared" si="37"/>
        <v>8.1073250515991901</v>
      </c>
      <c r="BY53" s="12">
        <f t="shared" si="38"/>
        <v>0.89560736629555671</v>
      </c>
      <c r="BZ53" s="21">
        <f t="shared" si="39"/>
        <v>14858508.166934602</v>
      </c>
    </row>
    <row r="54" spans="32:78" x14ac:dyDescent="0.4">
      <c r="AF54">
        <v>186.475504322766</v>
      </c>
      <c r="AG54">
        <v>11.1196674068124</v>
      </c>
      <c r="AH54">
        <f t="shared" si="27"/>
        <v>-1137.587896253616</v>
      </c>
      <c r="AI54" s="12">
        <f t="shared" si="28"/>
        <v>0.23068598145658301</v>
      </c>
      <c r="AJ54" s="21">
        <f t="shared" si="29"/>
        <v>3052357.6281631067</v>
      </c>
      <c r="AK54">
        <v>9.6499077490774905</v>
      </c>
      <c r="AL54">
        <v>0</v>
      </c>
      <c r="AM54">
        <f t="shared" si="66"/>
        <v>54.797047970479689</v>
      </c>
      <c r="AN54" s="12">
        <f t="shared" si="67"/>
        <v>0</v>
      </c>
      <c r="AO54" s="21">
        <f t="shared" si="49"/>
        <v>1</v>
      </c>
      <c r="BQ54">
        <v>23.639130434782601</v>
      </c>
      <c r="BR54">
        <v>1013.15789473684</v>
      </c>
      <c r="BS54">
        <f t="shared" si="34"/>
        <v>42.219130434782443</v>
      </c>
      <c r="BT54" s="12">
        <f t="shared" si="35"/>
        <v>0.14779270633397296</v>
      </c>
      <c r="BU54" s="21">
        <f t="shared" si="36"/>
        <v>2735526.3157894681</v>
      </c>
      <c r="BV54" s="13">
        <v>22.227812609525198</v>
      </c>
      <c r="BW54" s="13">
        <v>15.6150940457182</v>
      </c>
      <c r="BX54">
        <f t="shared" si="37"/>
        <v>8.3288290042439712</v>
      </c>
      <c r="BY54" s="12">
        <f t="shared" si="38"/>
        <v>0.88488232243542131</v>
      </c>
      <c r="BZ54" s="21">
        <f t="shared" si="39"/>
        <v>14131056.509988662</v>
      </c>
    </row>
    <row r="55" spans="32:78" x14ac:dyDescent="0.4">
      <c r="AF55">
        <v>187.85878962536</v>
      </c>
      <c r="AG55">
        <v>9.8929938111210802</v>
      </c>
      <c r="AH55">
        <f t="shared" si="27"/>
        <v>-1104.3890489913599</v>
      </c>
      <c r="AI55" s="12">
        <f t="shared" si="28"/>
        <v>0.20523770211546136</v>
      </c>
      <c r="AJ55" s="21">
        <f t="shared" si="29"/>
        <v>1875506.1772741866</v>
      </c>
      <c r="AK55">
        <v>9.6651291512915094</v>
      </c>
      <c r="AL55">
        <v>1097.61824890976</v>
      </c>
      <c r="AM55">
        <f t="shared" si="66"/>
        <v>55.162361623616142</v>
      </c>
      <c r="AN55" s="12">
        <f t="shared" si="67"/>
        <v>9.270522458539586E-2</v>
      </c>
      <c r="AO55" s="21">
        <f t="shared" si="49"/>
        <v>188.79189676306248</v>
      </c>
      <c r="BQ55">
        <v>23.665217391304299</v>
      </c>
      <c r="BR55">
        <v>65.789473684209895</v>
      </c>
      <c r="BS55">
        <f t="shared" si="34"/>
        <v>42.845217391303208</v>
      </c>
      <c r="BT55" s="12">
        <f t="shared" si="35"/>
        <v>9.5969289827254455E-3</v>
      </c>
      <c r="BU55" s="21">
        <f t="shared" si="36"/>
        <v>177631.57894736671</v>
      </c>
      <c r="BV55" s="13">
        <v>22.230655399353498</v>
      </c>
      <c r="BW55" s="13">
        <v>14.7973051910121</v>
      </c>
      <c r="BX55">
        <f t="shared" si="37"/>
        <v>8.3970559601231685</v>
      </c>
      <c r="BY55" s="12">
        <f t="shared" si="38"/>
        <v>0.83853954032373956</v>
      </c>
      <c r="BZ55" s="21">
        <f t="shared" si="39"/>
        <v>11293617.601491179</v>
      </c>
    </row>
    <row r="56" spans="32:78" x14ac:dyDescent="0.4">
      <c r="AF56">
        <v>190.04899135446601</v>
      </c>
      <c r="AG56">
        <v>9.6515802900741701</v>
      </c>
      <c r="AH56">
        <f t="shared" si="27"/>
        <v>-1051.8242074928157</v>
      </c>
      <c r="AI56" s="12">
        <f t="shared" si="28"/>
        <v>0.20022939449238644</v>
      </c>
      <c r="AJ56" s="21">
        <f t="shared" si="29"/>
        <v>1692049.4165555343</v>
      </c>
      <c r="AK56">
        <v>9.7057195571955699</v>
      </c>
      <c r="AL56">
        <v>0</v>
      </c>
      <c r="AM56">
        <f t="shared" si="66"/>
        <v>56.136531365313594</v>
      </c>
      <c r="AN56" s="12">
        <f t="shared" si="67"/>
        <v>0</v>
      </c>
      <c r="AO56" s="21">
        <f t="shared" si="49"/>
        <v>1</v>
      </c>
      <c r="BQ56">
        <v>23.7869565217391</v>
      </c>
      <c r="BR56">
        <v>144.736842105259</v>
      </c>
      <c r="BS56">
        <f t="shared" si="34"/>
        <v>45.766956521738422</v>
      </c>
      <c r="BT56" s="12">
        <f t="shared" si="35"/>
        <v>2.1113243761995575E-2</v>
      </c>
      <c r="BU56" s="21">
        <f t="shared" si="36"/>
        <v>390789.47368419933</v>
      </c>
      <c r="BV56" s="13">
        <v>22.246076560613702</v>
      </c>
      <c r="BW56" s="13">
        <v>14.607656061373101</v>
      </c>
      <c r="BX56">
        <f t="shared" si="37"/>
        <v>8.7671638303680481</v>
      </c>
      <c r="BY56" s="12">
        <f t="shared" si="38"/>
        <v>0.82779242847212509</v>
      </c>
      <c r="BZ56" s="21">
        <f t="shared" si="39"/>
        <v>10702642.293996414</v>
      </c>
    </row>
    <row r="57" spans="32:78" x14ac:dyDescent="0.4">
      <c r="AF57">
        <v>190.62536023054699</v>
      </c>
      <c r="AG57">
        <v>8.9150564558038496</v>
      </c>
      <c r="AH57">
        <f t="shared" si="27"/>
        <v>-1037.9913544668723</v>
      </c>
      <c r="AI57" s="12">
        <f t="shared" si="28"/>
        <v>0.18494964579498183</v>
      </c>
      <c r="AJ57" s="21">
        <f t="shared" si="29"/>
        <v>1215542.0867792857</v>
      </c>
      <c r="BQ57">
        <v>23.852173913043401</v>
      </c>
      <c r="BR57">
        <v>263.15789473684299</v>
      </c>
      <c r="BS57">
        <f t="shared" si="34"/>
        <v>47.332173913041657</v>
      </c>
      <c r="BT57" s="12">
        <f t="shared" si="35"/>
        <v>3.8387715930902275E-2</v>
      </c>
      <c r="BU57" s="21">
        <f t="shared" si="36"/>
        <v>710526.31578947604</v>
      </c>
      <c r="BV57" s="13">
        <v>22.2832275400132</v>
      </c>
      <c r="BW57" s="13">
        <v>14.6053195217882</v>
      </c>
      <c r="BX57">
        <f t="shared" si="37"/>
        <v>9.6587873359560206</v>
      </c>
      <c r="BY57" s="12">
        <f t="shared" si="38"/>
        <v>0.82766002052323306</v>
      </c>
      <c r="BZ57" s="21">
        <f t="shared" si="39"/>
        <v>10695511.097769797</v>
      </c>
    </row>
    <row r="58" spans="32:78" x14ac:dyDescent="0.4">
      <c r="AF58">
        <v>191.20172910662799</v>
      </c>
      <c r="AG58">
        <v>8.1785326215335203</v>
      </c>
      <c r="AH58">
        <f t="shared" si="27"/>
        <v>-1024.1585014409281</v>
      </c>
      <c r="AI58" s="12">
        <f t="shared" si="28"/>
        <v>0.16966989709757699</v>
      </c>
      <c r="AJ58" s="21">
        <f t="shared" si="29"/>
        <v>848659.97318698757</v>
      </c>
      <c r="BQ58">
        <v>23.869565217391301</v>
      </c>
      <c r="BR58">
        <v>223.68421052631601</v>
      </c>
      <c r="BS58">
        <f t="shared" si="34"/>
        <v>47.74956521739125</v>
      </c>
      <c r="BT58" s="12">
        <f t="shared" si="35"/>
        <v>3.2629558541266861E-2</v>
      </c>
      <c r="BU58" s="21">
        <f t="shared" si="36"/>
        <v>603947.36842105316</v>
      </c>
      <c r="BV58" s="13">
        <v>22.292573698352701</v>
      </c>
      <c r="BW58" s="13">
        <v>14.7934109583706</v>
      </c>
      <c r="BX58">
        <f t="shared" si="37"/>
        <v>9.883095136104032</v>
      </c>
      <c r="BY58" s="12">
        <f t="shared" si="38"/>
        <v>0.83831886040891967</v>
      </c>
      <c r="BZ58" s="21">
        <f t="shared" si="39"/>
        <v>11281238.756360823</v>
      </c>
    </row>
    <row r="59" spans="32:78" x14ac:dyDescent="0.4">
      <c r="AF59">
        <v>191.778097982708</v>
      </c>
      <c r="AG59">
        <v>8.4256153446402493</v>
      </c>
      <c r="AH59">
        <f t="shared" si="27"/>
        <v>-1010.3256484150079</v>
      </c>
      <c r="AI59" s="12">
        <f t="shared" si="28"/>
        <v>0.17479581664135049</v>
      </c>
      <c r="AJ59" s="21">
        <f t="shared" si="29"/>
        <v>960711.62220261677</v>
      </c>
      <c r="BQ59">
        <v>23.886956521739101</v>
      </c>
      <c r="BR59">
        <v>736.84210526315599</v>
      </c>
      <c r="BS59">
        <f t="shared" si="34"/>
        <v>48.166956521738456</v>
      </c>
      <c r="BT59" s="12">
        <f t="shared" si="35"/>
        <v>0.10748560460652573</v>
      </c>
      <c r="BU59" s="21">
        <f t="shared" si="36"/>
        <v>1989473.6842105212</v>
      </c>
      <c r="BV59" s="13">
        <v>22.3018030297129</v>
      </c>
      <c r="BW59" s="13">
        <v>14.604151251995701</v>
      </c>
      <c r="BX59">
        <f t="shared" si="37"/>
        <v>10.104599088748813</v>
      </c>
      <c r="BY59" s="12">
        <f t="shared" si="38"/>
        <v>0.82759381654878428</v>
      </c>
      <c r="BZ59" s="21">
        <f t="shared" si="39"/>
        <v>10691946.854138123</v>
      </c>
    </row>
    <row r="60" spans="32:78" x14ac:dyDescent="0.4">
      <c r="AF60">
        <v>192.93083573486999</v>
      </c>
      <c r="AG60">
        <v>8.9197807908536895</v>
      </c>
      <c r="AH60">
        <f t="shared" si="27"/>
        <v>-982.65994236312031</v>
      </c>
      <c r="AI60" s="12">
        <f t="shared" si="28"/>
        <v>0.18504765572889714</v>
      </c>
      <c r="AJ60" s="21">
        <f t="shared" si="29"/>
        <v>1218228.2953684544</v>
      </c>
      <c r="BQ60">
        <v>23.926086956521701</v>
      </c>
      <c r="BR60">
        <v>657.89473684210304</v>
      </c>
      <c r="BS60">
        <f t="shared" si="34"/>
        <v>49.106086956520841</v>
      </c>
      <c r="BT60" s="12">
        <f t="shared" si="35"/>
        <v>9.5969289827255042E-2</v>
      </c>
      <c r="BU60" s="21">
        <f t="shared" si="36"/>
        <v>1776315.7894736782</v>
      </c>
      <c r="BV60" s="13">
        <v>22.3265703493126</v>
      </c>
      <c r="BW60" s="13">
        <v>14.6025935589392</v>
      </c>
      <c r="BX60">
        <f t="shared" si="37"/>
        <v>10.699014759141619</v>
      </c>
      <c r="BY60" s="12">
        <f t="shared" si="38"/>
        <v>0.82750554458286185</v>
      </c>
      <c r="BZ60" s="21">
        <f t="shared" si="39"/>
        <v>10687195.933592584</v>
      </c>
    </row>
    <row r="61" spans="32:78" x14ac:dyDescent="0.4">
      <c r="AF61">
        <v>194.198847262247</v>
      </c>
      <c r="AG61">
        <v>8.9223791751311001</v>
      </c>
      <c r="AH61">
        <f t="shared" si="27"/>
        <v>-952.227665706072</v>
      </c>
      <c r="AI61" s="12">
        <f t="shared" si="28"/>
        <v>0.18510156119255053</v>
      </c>
      <c r="AJ61" s="21">
        <f t="shared" si="29"/>
        <v>1219707.6317786316</v>
      </c>
      <c r="BQ61">
        <v>23.969565217391299</v>
      </c>
      <c r="BR61">
        <v>855.26315789473597</v>
      </c>
      <c r="BS61">
        <f t="shared" si="34"/>
        <v>50.149565217391199</v>
      </c>
      <c r="BT61" s="12">
        <f t="shared" si="35"/>
        <v>0.12476007677543186</v>
      </c>
      <c r="BU61" s="21">
        <f t="shared" si="36"/>
        <v>2309210.5263157873</v>
      </c>
      <c r="BV61" s="13">
        <v>22.3294131391409</v>
      </c>
      <c r="BW61" s="13">
        <v>13.784804704233</v>
      </c>
      <c r="BX61">
        <f t="shared" si="37"/>
        <v>10.767241715020816</v>
      </c>
      <c r="BY61" s="12">
        <f t="shared" si="38"/>
        <v>0.78116276247117455</v>
      </c>
      <c r="BZ61" s="21">
        <f t="shared" si="39"/>
        <v>8405715.5435291808</v>
      </c>
    </row>
    <row r="62" spans="32:78" x14ac:dyDescent="0.4">
      <c r="AF62">
        <v>195.12103746397599</v>
      </c>
      <c r="AG62">
        <v>8.4324656304625094</v>
      </c>
      <c r="AH62">
        <f t="shared" si="27"/>
        <v>-930.09510086457612</v>
      </c>
      <c r="AI62" s="12">
        <f t="shared" si="28"/>
        <v>0.17493793104552757</v>
      </c>
      <c r="AJ62" s="21">
        <f t="shared" si="29"/>
        <v>963970.3486267624</v>
      </c>
      <c r="BV62" s="20">
        <v>22.335293430429498</v>
      </c>
      <c r="BW62" s="20">
        <v>12.7781455664161</v>
      </c>
      <c r="BX62">
        <f t="shared" si="37"/>
        <v>10.908368705947169</v>
      </c>
      <c r="BY62" s="12">
        <f t="shared" si="38"/>
        <v>0.7241170044908366</v>
      </c>
      <c r="BZ62" s="21">
        <f t="shared" si="39"/>
        <v>6128507.8354576314</v>
      </c>
    </row>
    <row r="63" spans="32:78" x14ac:dyDescent="0.4">
      <c r="AF63">
        <v>195.582132564841</v>
      </c>
      <c r="AG63">
        <v>7.6957055794396902</v>
      </c>
      <c r="AH63">
        <f t="shared" si="27"/>
        <v>-919.02881844381591</v>
      </c>
      <c r="AI63" s="12">
        <f t="shared" si="28"/>
        <v>0.15965328185142702</v>
      </c>
      <c r="AJ63" s="21">
        <f t="shared" si="29"/>
        <v>658599.57174727286</v>
      </c>
      <c r="BV63" s="20">
        <v>22.3412516063709</v>
      </c>
      <c r="BW63" s="20">
        <v>12.0230538572374</v>
      </c>
      <c r="BX63">
        <f t="shared" si="37"/>
        <v>11.051364928540806</v>
      </c>
      <c r="BY63" s="12">
        <f t="shared" si="38"/>
        <v>0.68132716900771328</v>
      </c>
      <c r="BZ63" s="21">
        <f t="shared" si="39"/>
        <v>4754816.3905585529</v>
      </c>
    </row>
    <row r="64" spans="32:78" x14ac:dyDescent="0.4">
      <c r="AF64">
        <v>196.85014409221901</v>
      </c>
      <c r="AG64">
        <v>6.4687957669957896</v>
      </c>
      <c r="AH64">
        <f t="shared" si="27"/>
        <v>-888.59654178674373</v>
      </c>
      <c r="AI64" s="12">
        <f t="shared" si="28"/>
        <v>0.13420010201360777</v>
      </c>
      <c r="AJ64" s="21">
        <f t="shared" si="29"/>
        <v>319411.53234391334</v>
      </c>
      <c r="BV64" s="20">
        <v>22.344074925036001</v>
      </c>
      <c r="BW64" s="20">
        <v>11.1423731453717</v>
      </c>
      <c r="BX64">
        <f t="shared" si="37"/>
        <v>11.119124576503225</v>
      </c>
      <c r="BY64" s="12">
        <f t="shared" si="38"/>
        <v>0.63142040627172502</v>
      </c>
      <c r="BZ64" s="21">
        <f t="shared" si="39"/>
        <v>3463212.913589946</v>
      </c>
    </row>
    <row r="65" spans="32:78" x14ac:dyDescent="0.4">
      <c r="AF65">
        <v>198.92507204610899</v>
      </c>
      <c r="AG65">
        <v>5.2435394718193296</v>
      </c>
      <c r="AH65">
        <f t="shared" si="27"/>
        <v>-838.79827089338414</v>
      </c>
      <c r="AI65" s="12">
        <f t="shared" si="28"/>
        <v>0.10878122565265878</v>
      </c>
      <c r="AJ65" s="21">
        <f t="shared" si="29"/>
        <v>133154.29609217239</v>
      </c>
      <c r="BV65" s="20">
        <v>22.346917714864201</v>
      </c>
      <c r="BW65" s="20">
        <v>10.3245842906655</v>
      </c>
      <c r="BX65">
        <f t="shared" si="37"/>
        <v>11.187351532380035</v>
      </c>
      <c r="BY65" s="12">
        <f t="shared" si="38"/>
        <v>0.58507762416003761</v>
      </c>
      <c r="BZ65" s="21">
        <f t="shared" si="39"/>
        <v>2520816.1634997013</v>
      </c>
    </row>
    <row r="66" spans="32:78" x14ac:dyDescent="0.4">
      <c r="AF66">
        <v>201.115273775216</v>
      </c>
      <c r="AG66">
        <v>4.2644210327396399</v>
      </c>
      <c r="AH66">
        <f t="shared" si="27"/>
        <v>-786.23342939481608</v>
      </c>
      <c r="AI66" s="12">
        <f t="shared" si="28"/>
        <v>8.8468666848700445E-2</v>
      </c>
      <c r="AJ66" s="21">
        <f t="shared" si="29"/>
        <v>56277.731004157496</v>
      </c>
      <c r="BV66" s="20">
        <v>22.374605708945001</v>
      </c>
      <c r="BW66" s="20">
        <v>9.7568051715409396</v>
      </c>
      <c r="BX66">
        <f t="shared" si="37"/>
        <v>11.851863390319238</v>
      </c>
      <c r="BY66" s="12">
        <f t="shared" si="38"/>
        <v>0.55290249257963919</v>
      </c>
      <c r="BZ66" s="21">
        <f t="shared" si="39"/>
        <v>1991531.8326373231</v>
      </c>
    </row>
    <row r="67" spans="32:78" x14ac:dyDescent="0.4">
      <c r="AF67">
        <v>203.305475504322</v>
      </c>
      <c r="AG67">
        <v>3.5312042330042002</v>
      </c>
      <c r="AH67">
        <f t="shared" si="27"/>
        <v>-733.6685878962719</v>
      </c>
      <c r="AI67" s="12">
        <f t="shared" si="28"/>
        <v>7.3257525105036386E-2</v>
      </c>
      <c r="AJ67" s="21">
        <f t="shared" si="29"/>
        <v>25640.790576273641</v>
      </c>
      <c r="BV67" s="20">
        <v>22.390026870205201</v>
      </c>
      <c r="BW67" s="20">
        <v>9.5671560419019404</v>
      </c>
      <c r="BX67">
        <f t="shared" si="37"/>
        <v>12.221971260564032</v>
      </c>
      <c r="BY67" s="12">
        <f t="shared" si="38"/>
        <v>0.54215538072802472</v>
      </c>
      <c r="BZ67" s="21">
        <f t="shared" si="39"/>
        <v>1835132.1969394737</v>
      </c>
    </row>
    <row r="68" spans="32:78" x14ac:dyDescent="0.4">
      <c r="AF68">
        <v>204.112391930835</v>
      </c>
      <c r="AG68">
        <v>2.7951528322388599</v>
      </c>
      <c r="AH68">
        <f t="shared" si="27"/>
        <v>-714.30259365995994</v>
      </c>
      <c r="AI68" s="12">
        <f t="shared" si="28"/>
        <v>5.7987577401023213E-2</v>
      </c>
      <c r="AJ68" s="21">
        <f t="shared" si="29"/>
        <v>9681.5023636079259</v>
      </c>
      <c r="BV68" s="20">
        <v>22.3962576424315</v>
      </c>
      <c r="BW68" s="20">
        <v>9.6925503329568805</v>
      </c>
      <c r="BX68">
        <f t="shared" si="37"/>
        <v>12.371509793995216</v>
      </c>
      <c r="BY68" s="12">
        <f t="shared" si="38"/>
        <v>0.54926127398514946</v>
      </c>
      <c r="BZ68" s="21">
        <f t="shared" si="39"/>
        <v>1937450.9640875391</v>
      </c>
    </row>
    <row r="69" spans="32:78" x14ac:dyDescent="0.4">
      <c r="AF69">
        <v>205.726224783861</v>
      </c>
      <c r="AG69">
        <v>1.8148533093967001</v>
      </c>
      <c r="AH69">
        <f t="shared" ref="AH69:AH132" si="68">(AF69-233.875)*24</f>
        <v>-675.57060518733601</v>
      </c>
      <c r="AI69" s="12">
        <f t="shared" ref="AI69:AI132" si="69">AG69/MAX(AG$4:AG$200)</f>
        <v>3.765051611358583E-2</v>
      </c>
      <c r="AJ69" s="21">
        <f t="shared" ref="AJ69:AJ132" si="70">IF(AG69=0, 1, POWER(AG69/2, 1/0.24) *2400)</f>
        <v>1601.1276543068975</v>
      </c>
      <c r="BV69" s="20">
        <v>22.4365240079442</v>
      </c>
      <c r="BW69" s="20">
        <v>9.7529109388994808</v>
      </c>
      <c r="BX69">
        <f t="shared" ref="BX69:BX132" si="71">(BV69-MIN(BV$4:BV$66))*24</f>
        <v>13.337902566300016</v>
      </c>
      <c r="BY69" s="12">
        <f t="shared" ref="BY69:BY132" si="72">BW69/MAX(BW$4:BW$210)</f>
        <v>0.55268181266482164</v>
      </c>
      <c r="BZ69" s="21">
        <f t="shared" ref="BZ69:BZ132" si="73">IF(BW69=0, 1, POWER(BW69/2, 1/0.24) *2700)</f>
        <v>1988221.9255089383</v>
      </c>
    </row>
    <row r="70" spans="32:78" x14ac:dyDescent="0.4">
      <c r="AF70">
        <v>206.64841498558999</v>
      </c>
      <c r="AG70">
        <v>1.32493976472812</v>
      </c>
      <c r="AH70">
        <f t="shared" si="68"/>
        <v>-653.43804034584014</v>
      </c>
      <c r="AI70" s="12">
        <f t="shared" si="69"/>
        <v>2.7486885966563072E-2</v>
      </c>
      <c r="AJ70" s="21">
        <f t="shared" si="70"/>
        <v>431.58878784449479</v>
      </c>
      <c r="BV70" s="20">
        <v>22.445850695120502</v>
      </c>
      <c r="BW70" s="20">
        <v>9.8781105183223605</v>
      </c>
      <c r="BX70">
        <f t="shared" si="71"/>
        <v>13.561743058531249</v>
      </c>
      <c r="BY70" s="12">
        <f t="shared" si="72"/>
        <v>0.55977667192620628</v>
      </c>
      <c r="BZ70" s="21">
        <f t="shared" si="73"/>
        <v>2096749.8422260536</v>
      </c>
    </row>
    <row r="71" spans="32:78" x14ac:dyDescent="0.4">
      <c r="AF71">
        <v>207.80115273775201</v>
      </c>
      <c r="AG71">
        <v>2.5568101289743499</v>
      </c>
      <c r="AH71">
        <f t="shared" si="68"/>
        <v>-625.77233429395187</v>
      </c>
      <c r="AI71" s="12">
        <f t="shared" si="69"/>
        <v>5.3042976234993371E-2</v>
      </c>
      <c r="AJ71" s="21">
        <f t="shared" si="70"/>
        <v>6678.2589056360302</v>
      </c>
      <c r="BV71" s="20">
        <v>22.461291327543901</v>
      </c>
      <c r="BW71" s="20">
        <v>9.7513532458428998</v>
      </c>
      <c r="BX71">
        <f t="shared" si="71"/>
        <v>13.932318236692822</v>
      </c>
      <c r="BY71" s="12">
        <f t="shared" si="72"/>
        <v>0.55259354069889477</v>
      </c>
      <c r="BZ71" s="21">
        <f t="shared" si="73"/>
        <v>1986899.1339475343</v>
      </c>
    </row>
    <row r="72" spans="32:78" x14ac:dyDescent="0.4">
      <c r="AF72">
        <v>208.723342939481</v>
      </c>
      <c r="AG72">
        <v>1.3291916662729699</v>
      </c>
      <c r="AH72">
        <f t="shared" si="68"/>
        <v>-603.63976945245599</v>
      </c>
      <c r="AI72" s="12">
        <f t="shared" si="69"/>
        <v>2.7575094907086737E-2</v>
      </c>
      <c r="AJ72" s="21">
        <f t="shared" si="70"/>
        <v>437.38911093436849</v>
      </c>
      <c r="BV72" s="20">
        <v>22.470871139841801</v>
      </c>
      <c r="BW72" s="20">
        <v>10.694146968339799</v>
      </c>
      <c r="BX72">
        <f t="shared" si="71"/>
        <v>14.162233731842434</v>
      </c>
      <c r="BY72" s="12">
        <f t="shared" si="72"/>
        <v>0.60602014807621984</v>
      </c>
      <c r="BZ72" s="21">
        <f t="shared" si="73"/>
        <v>2918643.605228866</v>
      </c>
    </row>
    <row r="73" spans="32:78" x14ac:dyDescent="0.4">
      <c r="AF73">
        <v>209.64553314121</v>
      </c>
      <c r="AG73">
        <v>2.06878631832569</v>
      </c>
      <c r="AH73">
        <f t="shared" si="68"/>
        <v>-581.50720461096012</v>
      </c>
      <c r="AI73" s="12">
        <f t="shared" si="69"/>
        <v>4.2918550061536408E-2</v>
      </c>
      <c r="AJ73" s="21">
        <f t="shared" si="70"/>
        <v>2763.1305669731632</v>
      </c>
      <c r="BV73" s="20">
        <v>22.471221620779598</v>
      </c>
      <c r="BW73" s="20">
        <v>11.8262003972117</v>
      </c>
      <c r="BX73">
        <f t="shared" si="71"/>
        <v>14.170645274349567</v>
      </c>
      <c r="BY73" s="12">
        <f t="shared" si="72"/>
        <v>0.67017179931368598</v>
      </c>
      <c r="BZ73" s="21">
        <f t="shared" si="73"/>
        <v>4438749.0285222558</v>
      </c>
    </row>
    <row r="74" spans="32:78" x14ac:dyDescent="0.4">
      <c r="AF74">
        <v>210.56772334293899</v>
      </c>
      <c r="AG74">
        <v>2.0706760523456298</v>
      </c>
      <c r="AH74">
        <f t="shared" si="68"/>
        <v>-559.37463976946424</v>
      </c>
      <c r="AI74" s="12">
        <f t="shared" si="69"/>
        <v>4.2957754035102616E-2</v>
      </c>
      <c r="AJ74" s="21">
        <f t="shared" si="70"/>
        <v>2773.6623836389713</v>
      </c>
      <c r="BV74" s="20">
        <v>22.4776276334748</v>
      </c>
      <c r="BW74" s="20">
        <v>12.517621402702501</v>
      </c>
      <c r="BX74">
        <f t="shared" si="71"/>
        <v>14.324389579034403</v>
      </c>
      <c r="BY74" s="12">
        <f t="shared" si="72"/>
        <v>0.70935351818953885</v>
      </c>
      <c r="BZ74" s="21">
        <f t="shared" si="73"/>
        <v>5624444.8932860456</v>
      </c>
    </row>
    <row r="75" spans="32:78" x14ac:dyDescent="0.4">
      <c r="AF75">
        <v>211.95100864553299</v>
      </c>
      <c r="AG75">
        <v>1.82760901403128</v>
      </c>
      <c r="AH75">
        <f t="shared" si="68"/>
        <v>-526.17579250720814</v>
      </c>
      <c r="AI75" s="12">
        <f t="shared" si="69"/>
        <v>3.7915142935157457E-2</v>
      </c>
      <c r="AJ75" s="21">
        <f t="shared" si="70"/>
        <v>1648.5418396069879</v>
      </c>
      <c r="BV75" s="20">
        <v>22.478017056738899</v>
      </c>
      <c r="BW75" s="20">
        <v>13.7754585458935</v>
      </c>
      <c r="BX75">
        <f t="shared" si="71"/>
        <v>14.333735737372791</v>
      </c>
      <c r="BY75" s="12">
        <f t="shared" si="72"/>
        <v>0.78063313067561235</v>
      </c>
      <c r="BZ75" s="21">
        <f t="shared" si="73"/>
        <v>8381994.7221072223</v>
      </c>
    </row>
    <row r="76" spans="32:78" x14ac:dyDescent="0.4">
      <c r="AF76">
        <v>212.642651296829</v>
      </c>
      <c r="AG76">
        <v>2.32082959323475</v>
      </c>
      <c r="AH76">
        <f t="shared" si="68"/>
        <v>-509.57636887610397</v>
      </c>
      <c r="AI76" s="12">
        <f t="shared" si="69"/>
        <v>4.8147380035920985E-2</v>
      </c>
      <c r="AJ76" s="21">
        <f t="shared" si="70"/>
        <v>4461.0095164627692</v>
      </c>
      <c r="BV76" s="20">
        <v>22.484462011760499</v>
      </c>
      <c r="BW76" s="20">
        <v>14.592663265703401</v>
      </c>
      <c r="BX76">
        <f t="shared" si="71"/>
        <v>14.488414657891184</v>
      </c>
      <c r="BY76" s="12">
        <f t="shared" si="72"/>
        <v>0.82694281080007259</v>
      </c>
      <c r="BZ76" s="21">
        <f t="shared" si="73"/>
        <v>10656946.519425835</v>
      </c>
    </row>
    <row r="77" spans="32:78" x14ac:dyDescent="0.4">
      <c r="AF77">
        <v>213.21902017291001</v>
      </c>
      <c r="AG77">
        <v>2.5679123163414799</v>
      </c>
      <c r="AH77">
        <f t="shared" si="68"/>
        <v>-495.74351585015984</v>
      </c>
      <c r="AI77" s="12">
        <f t="shared" si="69"/>
        <v>5.3273299579694504E-2</v>
      </c>
      <c r="AJ77" s="21">
        <f t="shared" si="70"/>
        <v>6799.9186837976722</v>
      </c>
      <c r="BV77" s="20">
        <v>22.493808170099999</v>
      </c>
      <c r="BW77" s="20">
        <v>14.7807547022859</v>
      </c>
      <c r="BX77">
        <f t="shared" si="71"/>
        <v>14.712722458039195</v>
      </c>
      <c r="BY77" s="12">
        <f t="shared" si="72"/>
        <v>0.83760165068576486</v>
      </c>
      <c r="BZ77" s="21">
        <f t="shared" si="73"/>
        <v>11241078.71486512</v>
      </c>
    </row>
    <row r="78" spans="32:78" x14ac:dyDescent="0.4">
      <c r="AF78">
        <v>213.68011527377499</v>
      </c>
      <c r="AG78">
        <v>2.3229555440071699</v>
      </c>
      <c r="AH78">
        <f t="shared" si="68"/>
        <v>-484.6772334294003</v>
      </c>
      <c r="AI78" s="12">
        <f t="shared" si="69"/>
        <v>4.8191484506182714E-2</v>
      </c>
      <c r="AJ78" s="21">
        <f t="shared" si="70"/>
        <v>4478.0609819764295</v>
      </c>
      <c r="BV78" s="20">
        <v>22.506191829899901</v>
      </c>
      <c r="BW78" s="20">
        <v>14.7799758557576</v>
      </c>
      <c r="BX78">
        <f t="shared" si="71"/>
        <v>15.009930293236835</v>
      </c>
      <c r="BY78" s="12">
        <f t="shared" si="72"/>
        <v>0.83755751470280082</v>
      </c>
      <c r="BZ78" s="21">
        <f t="shared" si="73"/>
        <v>11238610.881723706</v>
      </c>
    </row>
    <row r="79" spans="32:78" x14ac:dyDescent="0.4">
      <c r="AF79">
        <v>214.37175792507199</v>
      </c>
      <c r="AG79">
        <v>1.58666792648935</v>
      </c>
      <c r="AH79">
        <f t="shared" si="68"/>
        <v>-468.07780979827226</v>
      </c>
      <c r="AI79" s="12">
        <f t="shared" si="69"/>
        <v>3.291663630547402E-2</v>
      </c>
      <c r="AJ79" s="21">
        <f t="shared" si="70"/>
        <v>914.69879070086859</v>
      </c>
      <c r="BV79" s="20">
        <v>22.521612991160001</v>
      </c>
      <c r="BW79" s="20">
        <v>14.590326726118599</v>
      </c>
      <c r="BX79">
        <f t="shared" si="71"/>
        <v>15.380038163479242</v>
      </c>
      <c r="BY79" s="12">
        <f t="shared" si="72"/>
        <v>0.82681040285118612</v>
      </c>
      <c r="BZ79" s="21">
        <f t="shared" si="73"/>
        <v>10649838.476800952</v>
      </c>
    </row>
    <row r="80" spans="32:78" x14ac:dyDescent="0.4">
      <c r="AF80">
        <v>214.832853025936</v>
      </c>
      <c r="AG80">
        <v>2.0794160721878399</v>
      </c>
      <c r="AH80">
        <f t="shared" si="68"/>
        <v>-457.01152737753591</v>
      </c>
      <c r="AI80" s="12">
        <f t="shared" si="69"/>
        <v>4.3139072412846098E-2</v>
      </c>
      <c r="AJ80" s="21">
        <f t="shared" si="70"/>
        <v>2822.7694685855104</v>
      </c>
      <c r="BV80" s="20">
        <v>22.524416838661899</v>
      </c>
      <c r="BW80" s="20">
        <v>13.6467541570933</v>
      </c>
      <c r="BX80">
        <f t="shared" si="71"/>
        <v>15.447330503524796</v>
      </c>
      <c r="BY80" s="12">
        <f t="shared" si="72"/>
        <v>0.77333965949089145</v>
      </c>
      <c r="BZ80" s="21">
        <f t="shared" si="73"/>
        <v>8060484.5249233572</v>
      </c>
    </row>
    <row r="81" spans="32:78" x14ac:dyDescent="0.4">
      <c r="AF81">
        <v>215.755043227665</v>
      </c>
      <c r="AG81">
        <v>1.58950252751925</v>
      </c>
      <c r="AH81">
        <f t="shared" si="68"/>
        <v>-434.87896253604004</v>
      </c>
      <c r="AI81" s="12">
        <f t="shared" si="69"/>
        <v>3.2975442265823135E-2</v>
      </c>
      <c r="AJ81" s="21">
        <f t="shared" si="70"/>
        <v>921.52690956201536</v>
      </c>
      <c r="BV81" s="20">
        <v>22.527240157327</v>
      </c>
      <c r="BW81" s="20">
        <v>12.766073445227599</v>
      </c>
      <c r="BX81">
        <f t="shared" si="71"/>
        <v>15.515090151487215</v>
      </c>
      <c r="BY81" s="12">
        <f t="shared" si="72"/>
        <v>0.72343289675490319</v>
      </c>
      <c r="BZ81" s="21">
        <f t="shared" si="73"/>
        <v>6104419.3454374913</v>
      </c>
    </row>
    <row r="82" spans="32:78" x14ac:dyDescent="0.4">
      <c r="AF82">
        <v>215.98559077809699</v>
      </c>
      <c r="AG82">
        <v>3.5571880757783298</v>
      </c>
      <c r="AH82">
        <f t="shared" si="68"/>
        <v>-429.3458213256722</v>
      </c>
      <c r="AI82" s="12">
        <f t="shared" si="69"/>
        <v>7.3796579741570875E-2</v>
      </c>
      <c r="AJ82" s="21">
        <f t="shared" si="70"/>
        <v>26436.139954732058</v>
      </c>
      <c r="BV82" s="20">
        <v>22.533198333268398</v>
      </c>
      <c r="BW82" s="20">
        <v>12.010981736048899</v>
      </c>
      <c r="BX82">
        <f t="shared" si="71"/>
        <v>15.658086374080767</v>
      </c>
      <c r="BY82" s="12">
        <f t="shared" si="72"/>
        <v>0.68064306127177987</v>
      </c>
      <c r="BZ82" s="21">
        <f t="shared" si="73"/>
        <v>4734955.4040630748</v>
      </c>
    </row>
    <row r="83" spans="32:78" x14ac:dyDescent="0.4">
      <c r="AF83">
        <v>218.52161383285301</v>
      </c>
      <c r="AG83">
        <v>4.0541881230216799</v>
      </c>
      <c r="AH83">
        <f t="shared" si="68"/>
        <v>-368.48126801152785</v>
      </c>
      <c r="AI83" s="12">
        <f t="shared" si="69"/>
        <v>8.4107224789466833E-2</v>
      </c>
      <c r="AJ83" s="21">
        <f t="shared" si="70"/>
        <v>45588.205506821265</v>
      </c>
      <c r="BV83" s="20">
        <v>22.5360021807702</v>
      </c>
      <c r="BW83" s="20">
        <v>11.0674091670236</v>
      </c>
      <c r="BX83">
        <f t="shared" si="71"/>
        <v>15.72537871412402</v>
      </c>
      <c r="BY83" s="12">
        <f t="shared" si="72"/>
        <v>0.6271723179114852</v>
      </c>
      <c r="BZ83" s="21">
        <f t="shared" si="73"/>
        <v>3367159.1334172692</v>
      </c>
    </row>
    <row r="84" spans="32:78" x14ac:dyDescent="0.4">
      <c r="AF84">
        <v>219.443804034582</v>
      </c>
      <c r="AG84">
        <v>3.8101762176973599</v>
      </c>
      <c r="AH84">
        <f t="shared" si="68"/>
        <v>-346.34870317003197</v>
      </c>
      <c r="AI84" s="12">
        <f t="shared" si="69"/>
        <v>7.904501170273856E-2</v>
      </c>
      <c r="AJ84" s="21">
        <f t="shared" si="70"/>
        <v>35198.488781044143</v>
      </c>
      <c r="BV84" s="20">
        <v>22.538806028272099</v>
      </c>
      <c r="BW84" s="20">
        <v>10.1238365979983</v>
      </c>
      <c r="BX84">
        <f t="shared" si="71"/>
        <v>15.792671054169574</v>
      </c>
      <c r="BY84" s="12">
        <f t="shared" si="72"/>
        <v>0.57370157455119053</v>
      </c>
      <c r="BZ84" s="21">
        <f t="shared" si="73"/>
        <v>2322791.0515489839</v>
      </c>
    </row>
    <row r="85" spans="32:78" x14ac:dyDescent="0.4">
      <c r="AF85">
        <v>220.13544668587801</v>
      </c>
      <c r="AG85">
        <v>3.5656918788680501</v>
      </c>
      <c r="AH85">
        <f t="shared" si="68"/>
        <v>-329.74927953892779</v>
      </c>
      <c r="AI85" s="12">
        <f t="shared" si="69"/>
        <v>7.3972997622618636E-2</v>
      </c>
      <c r="AJ85" s="21">
        <f t="shared" si="70"/>
        <v>26700.464045846285</v>
      </c>
      <c r="BV85" s="20">
        <v>22.560360605942599</v>
      </c>
      <c r="BW85" s="20">
        <v>9.7451224736165702</v>
      </c>
      <c r="BX85">
        <f t="shared" si="71"/>
        <v>16.309980918261573</v>
      </c>
      <c r="BY85" s="12">
        <f t="shared" si="72"/>
        <v>0.55224045283518686</v>
      </c>
      <c r="BZ85" s="21">
        <f t="shared" si="73"/>
        <v>1981614.6549989092</v>
      </c>
    </row>
    <row r="86" spans="32:78" x14ac:dyDescent="0.4">
      <c r="AF86">
        <v>221.057636887608</v>
      </c>
      <c r="AG86">
        <v>4.0593848915765003</v>
      </c>
      <c r="AH86">
        <f t="shared" si="68"/>
        <v>-307.61671469740804</v>
      </c>
      <c r="AI86" s="12">
        <f t="shared" si="69"/>
        <v>8.421503571677362E-2</v>
      </c>
      <c r="AJ86" s="21">
        <f t="shared" si="70"/>
        <v>45832.184301793728</v>
      </c>
      <c r="BV86" s="20">
        <v>22.5696872931188</v>
      </c>
      <c r="BW86" s="20">
        <v>9.8703220530394393</v>
      </c>
      <c r="BX86">
        <f t="shared" si="71"/>
        <v>16.533821410490418</v>
      </c>
      <c r="BY86" s="12">
        <f t="shared" si="72"/>
        <v>0.55933531209657084</v>
      </c>
      <c r="BZ86" s="21">
        <f t="shared" si="73"/>
        <v>2089870.115523621</v>
      </c>
    </row>
    <row r="87" spans="32:78" x14ac:dyDescent="0.4">
      <c r="AF87">
        <v>221.40345821325599</v>
      </c>
      <c r="AG87">
        <v>4.0600935418339796</v>
      </c>
      <c r="AH87">
        <f t="shared" si="68"/>
        <v>-299.3170028818563</v>
      </c>
      <c r="AI87" s="12">
        <f t="shared" si="69"/>
        <v>8.4229737206860986E-2</v>
      </c>
      <c r="AJ87" s="21">
        <f t="shared" si="70"/>
        <v>45865.530864269022</v>
      </c>
      <c r="BV87" s="20">
        <v>22.578936095642302</v>
      </c>
      <c r="BW87" s="20">
        <v>9.7439542038241296</v>
      </c>
      <c r="BX87">
        <f t="shared" si="71"/>
        <v>16.755792671054451</v>
      </c>
      <c r="BY87" s="12">
        <f t="shared" si="72"/>
        <v>0.5521742488607414</v>
      </c>
      <c r="BZ87" s="21">
        <f t="shared" si="73"/>
        <v>1980625.0055806374</v>
      </c>
    </row>
    <row r="88" spans="32:78" x14ac:dyDescent="0.4">
      <c r="AF88">
        <v>222.09510086455299</v>
      </c>
      <c r="AG88">
        <v>3.5697075636604101</v>
      </c>
      <c r="AH88">
        <f t="shared" si="68"/>
        <v>-282.71757925072825</v>
      </c>
      <c r="AI88" s="12">
        <f t="shared" si="69"/>
        <v>7.4056306066446573E-2</v>
      </c>
      <c r="AJ88" s="21">
        <f t="shared" si="70"/>
        <v>26825.979650820056</v>
      </c>
      <c r="BV88" s="20">
        <v>22.6687176291911</v>
      </c>
      <c r="BW88" s="20">
        <v>9.7383075664940204</v>
      </c>
      <c r="BX88">
        <f t="shared" si="71"/>
        <v>18.910549476225611</v>
      </c>
      <c r="BY88" s="12">
        <f t="shared" si="72"/>
        <v>0.55185426298425622</v>
      </c>
      <c r="BZ88" s="21">
        <f t="shared" si="73"/>
        <v>1975846.9942375456</v>
      </c>
    </row>
    <row r="89" spans="32:78" x14ac:dyDescent="0.4">
      <c r="AF89">
        <v>222.44092219020101</v>
      </c>
      <c r="AG89">
        <v>4.7999244106391998</v>
      </c>
      <c r="AH89">
        <f t="shared" si="68"/>
        <v>-274.41786743517582</v>
      </c>
      <c r="AI89" s="12">
        <f t="shared" si="69"/>
        <v>9.9578092858006589E-2</v>
      </c>
      <c r="AJ89" s="21">
        <f t="shared" si="70"/>
        <v>92128.977693701425</v>
      </c>
      <c r="BV89" s="20">
        <v>22.6782974414891</v>
      </c>
      <c r="BW89" s="20">
        <v>10.681101288991</v>
      </c>
      <c r="BX89">
        <f t="shared" si="71"/>
        <v>19.140464971377611</v>
      </c>
      <c r="BY89" s="12">
        <f t="shared" si="72"/>
        <v>0.60528087036158584</v>
      </c>
      <c r="BZ89" s="21">
        <f t="shared" si="73"/>
        <v>2903837.1373374476</v>
      </c>
    </row>
    <row r="90" spans="32:78" x14ac:dyDescent="0.4">
      <c r="AF90">
        <v>222.671469740634</v>
      </c>
      <c r="AG90">
        <v>7.01351159824255</v>
      </c>
      <c r="AH90">
        <f t="shared" si="68"/>
        <v>-268.88472622478412</v>
      </c>
      <c r="AI90" s="12">
        <f t="shared" si="69"/>
        <v>0.14550064739404903</v>
      </c>
      <c r="AJ90" s="21">
        <f t="shared" si="70"/>
        <v>447353.58747294929</v>
      </c>
      <c r="BV90" s="20">
        <v>22.6786089801004</v>
      </c>
      <c r="BW90" s="20">
        <v>11.687371003543699</v>
      </c>
      <c r="BX90">
        <f t="shared" si="71"/>
        <v>19.147941898048799</v>
      </c>
      <c r="BY90" s="12">
        <f t="shared" si="72"/>
        <v>0.66230456035043894</v>
      </c>
      <c r="BZ90" s="21">
        <f t="shared" si="73"/>
        <v>4225637.544907663</v>
      </c>
    </row>
    <row r="91" spans="32:78" x14ac:dyDescent="0.4">
      <c r="AF91">
        <v>222.90201729106599</v>
      </c>
      <c r="AG91">
        <v>7.50578731043605</v>
      </c>
      <c r="AH91">
        <f t="shared" si="68"/>
        <v>-263.35158501441629</v>
      </c>
      <c r="AI91" s="12">
        <f t="shared" si="69"/>
        <v>0.15571328250802946</v>
      </c>
      <c r="AJ91" s="21">
        <f t="shared" si="70"/>
        <v>593477.12448942196</v>
      </c>
      <c r="BV91" s="20">
        <v>22.685092877448501</v>
      </c>
      <c r="BW91" s="20">
        <v>12.6303594376728</v>
      </c>
      <c r="BX91">
        <f t="shared" si="71"/>
        <v>19.303555434403222</v>
      </c>
      <c r="BY91" s="12">
        <f t="shared" si="72"/>
        <v>0.71574220172351211</v>
      </c>
      <c r="BZ91" s="21">
        <f t="shared" si="73"/>
        <v>5838539.7388150226</v>
      </c>
    </row>
    <row r="92" spans="32:78" x14ac:dyDescent="0.4">
      <c r="AF92">
        <v>223.24783861671401</v>
      </c>
      <c r="AG92">
        <v>7.0146926820050099</v>
      </c>
      <c r="AH92">
        <f t="shared" si="68"/>
        <v>-255.05187319886386</v>
      </c>
      <c r="AI92" s="12">
        <f t="shared" si="69"/>
        <v>0.14552514987752788</v>
      </c>
      <c r="AJ92" s="21">
        <f t="shared" si="70"/>
        <v>447667.5665141631</v>
      </c>
      <c r="BV92" s="20">
        <v>22.685423887222999</v>
      </c>
      <c r="BW92" s="20">
        <v>13.6995210093851</v>
      </c>
      <c r="BX92">
        <f t="shared" si="71"/>
        <v>19.311499668991189</v>
      </c>
      <c r="BY92" s="12">
        <f t="shared" si="72"/>
        <v>0.77632987233667183</v>
      </c>
      <c r="BZ92" s="21">
        <f t="shared" si="73"/>
        <v>8191143.6742340699</v>
      </c>
    </row>
    <row r="93" spans="32:78" x14ac:dyDescent="0.4">
      <c r="AF93">
        <v>223.70893371757899</v>
      </c>
      <c r="AG93">
        <v>6.2779326309821899</v>
      </c>
      <c r="AH93">
        <f t="shared" si="68"/>
        <v>-243.98559077810432</v>
      </c>
      <c r="AI93" s="12">
        <f t="shared" si="69"/>
        <v>0.13024050068342732</v>
      </c>
      <c r="AJ93" s="21">
        <f t="shared" si="70"/>
        <v>281939.31399006041</v>
      </c>
      <c r="BV93" s="20">
        <v>22.691829899918201</v>
      </c>
      <c r="BW93" s="20">
        <v>14.3909420148759</v>
      </c>
      <c r="BX93">
        <f t="shared" si="71"/>
        <v>19.465243973676024</v>
      </c>
      <c r="BY93" s="12">
        <f t="shared" si="72"/>
        <v>0.81551159121252459</v>
      </c>
      <c r="BZ93" s="21">
        <f t="shared" si="73"/>
        <v>10056431.026769094</v>
      </c>
    </row>
    <row r="94" spans="32:78" x14ac:dyDescent="0.4">
      <c r="AF94">
        <v>224.285302593659</v>
      </c>
      <c r="AG94">
        <v>6.52501535408891</v>
      </c>
      <c r="AH94">
        <f t="shared" si="68"/>
        <v>-230.15273775218407</v>
      </c>
      <c r="AI94" s="12">
        <f t="shared" si="69"/>
        <v>0.13536642022720063</v>
      </c>
      <c r="AJ94" s="21">
        <f t="shared" si="70"/>
        <v>331138.23878827743</v>
      </c>
      <c r="BV94" s="20">
        <v>22.6946921609096</v>
      </c>
      <c r="BW94" s="20">
        <v>13.6360450173293</v>
      </c>
      <c r="BX94">
        <f t="shared" si="71"/>
        <v>19.533938237469613</v>
      </c>
      <c r="BY94" s="12">
        <f t="shared" si="72"/>
        <v>0.7727327897251437</v>
      </c>
      <c r="BZ94" s="21">
        <f t="shared" si="73"/>
        <v>8034161.5188657204</v>
      </c>
    </row>
    <row r="95" spans="32:78" x14ac:dyDescent="0.4">
      <c r="AF95">
        <v>224.86167146974</v>
      </c>
      <c r="AG95">
        <v>5.5425898804743303</v>
      </c>
      <c r="AH95">
        <f t="shared" si="68"/>
        <v>-216.31988472623993</v>
      </c>
      <c r="AI95" s="12">
        <f t="shared" si="69"/>
        <v>0.11498525446950153</v>
      </c>
      <c r="AJ95" s="21">
        <f t="shared" si="70"/>
        <v>167773.24139556495</v>
      </c>
      <c r="BV95" s="20">
        <v>22.703687838311399</v>
      </c>
      <c r="BW95" s="20">
        <v>12.692083025039899</v>
      </c>
      <c r="BX95">
        <f t="shared" si="71"/>
        <v>19.749834495112793</v>
      </c>
      <c r="BY95" s="12">
        <f t="shared" si="72"/>
        <v>0.71923997837336984</v>
      </c>
      <c r="BZ95" s="21">
        <f t="shared" si="73"/>
        <v>5958348.2602892304</v>
      </c>
    </row>
    <row r="96" spans="32:78" x14ac:dyDescent="0.4">
      <c r="AF96">
        <v>225.43804034582101</v>
      </c>
      <c r="AG96">
        <v>4.8060660462040001</v>
      </c>
      <c r="AH96">
        <f t="shared" si="68"/>
        <v>-202.4870317002958</v>
      </c>
      <c r="AI96" s="12">
        <f t="shared" si="69"/>
        <v>9.9705505772096692E-2</v>
      </c>
      <c r="AJ96" s="21">
        <f t="shared" si="70"/>
        <v>92621.14688196496</v>
      </c>
      <c r="BV96" s="20">
        <v>22.7129561119981</v>
      </c>
      <c r="BW96" s="20">
        <v>12.6286070329841</v>
      </c>
      <c r="BX96">
        <f t="shared" si="71"/>
        <v>19.972273063593605</v>
      </c>
      <c r="BY96" s="12">
        <f t="shared" si="72"/>
        <v>0.7156428957618417</v>
      </c>
      <c r="BZ96" s="21">
        <f t="shared" si="73"/>
        <v>5835165.1855432335</v>
      </c>
    </row>
    <row r="97" spans="32:78" x14ac:dyDescent="0.4">
      <c r="AF97">
        <v>227.85878962536</v>
      </c>
      <c r="AG97">
        <v>4.8110265980063298</v>
      </c>
      <c r="AH97">
        <f t="shared" si="68"/>
        <v>-144.38904899135991</v>
      </c>
      <c r="AI97" s="12">
        <f t="shared" si="69"/>
        <v>9.9808416202707723E-2</v>
      </c>
      <c r="AJ97" s="21">
        <f t="shared" si="70"/>
        <v>93020.124793254203</v>
      </c>
      <c r="BV97" s="20">
        <v>22.712664044549999</v>
      </c>
      <c r="BW97" s="20">
        <v>11.6852291755909</v>
      </c>
      <c r="BX97">
        <f t="shared" si="71"/>
        <v>19.965263444839195</v>
      </c>
      <c r="BY97" s="12">
        <f t="shared" si="72"/>
        <v>0.66218318639728946</v>
      </c>
      <c r="BZ97" s="21">
        <f t="shared" si="73"/>
        <v>4222411.8541090917</v>
      </c>
    </row>
    <row r="98" spans="32:78" x14ac:dyDescent="0.4">
      <c r="AF98">
        <v>228.780979827089</v>
      </c>
      <c r="AG98">
        <v>4.5670146926820001</v>
      </c>
      <c r="AH98">
        <f t="shared" si="68"/>
        <v>-122.25648414986404</v>
      </c>
      <c r="AI98" s="12">
        <f t="shared" si="69"/>
        <v>9.4746203115979255E-2</v>
      </c>
      <c r="AJ98" s="21">
        <f t="shared" si="70"/>
        <v>74883.815240315438</v>
      </c>
      <c r="BV98" s="20">
        <v>22.718583278164999</v>
      </c>
      <c r="BW98" s="20">
        <v>10.8043537520931</v>
      </c>
      <c r="BX98">
        <f t="shared" si="71"/>
        <v>20.10732505159919</v>
      </c>
      <c r="BY98" s="12">
        <f t="shared" si="72"/>
        <v>0.61226538966555877</v>
      </c>
      <c r="BZ98" s="21">
        <f t="shared" si="73"/>
        <v>3046027.0971353166</v>
      </c>
    </row>
    <row r="99" spans="32:78" x14ac:dyDescent="0.4">
      <c r="AF99">
        <v>229.93371757924999</v>
      </c>
      <c r="AG99">
        <v>4.3234752208626599</v>
      </c>
      <c r="AH99">
        <f t="shared" si="68"/>
        <v>-94.590778098000328</v>
      </c>
      <c r="AI99" s="12">
        <f t="shared" si="69"/>
        <v>8.9693791022642425E-2</v>
      </c>
      <c r="AJ99" s="21">
        <f t="shared" si="70"/>
        <v>59596.897593254806</v>
      </c>
      <c r="BV99" s="20">
        <v>22.7244830406168</v>
      </c>
      <c r="BW99" s="20">
        <v>9.8605864714358002</v>
      </c>
      <c r="BX99">
        <f t="shared" si="71"/>
        <v>20.248919350442407</v>
      </c>
      <c r="BY99" s="12">
        <f t="shared" si="72"/>
        <v>0.55878361230952733</v>
      </c>
      <c r="BZ99" s="21">
        <f t="shared" si="73"/>
        <v>2081294.5979793649</v>
      </c>
    </row>
    <row r="100" spans="32:78" x14ac:dyDescent="0.4">
      <c r="AF100">
        <v>230.279538904899</v>
      </c>
      <c r="AG100">
        <v>0</v>
      </c>
      <c r="AH100">
        <f t="shared" si="68"/>
        <v>-86.291066282424026</v>
      </c>
      <c r="AI100" s="12">
        <f t="shared" si="69"/>
        <v>0</v>
      </c>
      <c r="AJ100" s="21">
        <f t="shared" si="70"/>
        <v>1</v>
      </c>
      <c r="BV100" s="20">
        <v>22.736847229253399</v>
      </c>
      <c r="BW100" s="20">
        <v>9.7969157677479597</v>
      </c>
      <c r="BX100">
        <f t="shared" si="71"/>
        <v>20.545659877720794</v>
      </c>
      <c r="BY100" s="12">
        <f t="shared" si="72"/>
        <v>0.55517549570226021</v>
      </c>
      <c r="BZ100" s="21">
        <f t="shared" si="73"/>
        <v>2025868.1384873935</v>
      </c>
    </row>
    <row r="101" spans="32:78" x14ac:dyDescent="0.4">
      <c r="AF101">
        <v>233.874</v>
      </c>
      <c r="AG101">
        <v>0</v>
      </c>
      <c r="AH101">
        <f t="shared" si="68"/>
        <v>-2.4000000000114596E-2</v>
      </c>
      <c r="AI101" s="12">
        <f t="shared" si="69"/>
        <v>0</v>
      </c>
      <c r="AJ101" s="21">
        <f t="shared" si="70"/>
        <v>1</v>
      </c>
      <c r="BV101" s="20">
        <v>22.752229448187201</v>
      </c>
      <c r="BW101" s="20">
        <v>9.4814829237898604</v>
      </c>
      <c r="BX101">
        <f t="shared" si="71"/>
        <v>20.914833132132031</v>
      </c>
      <c r="BY101" s="12">
        <f t="shared" si="72"/>
        <v>0.53730042260203825</v>
      </c>
      <c r="BZ101" s="21">
        <f t="shared" si="73"/>
        <v>1767624.0246063869</v>
      </c>
    </row>
    <row r="102" spans="32:78" x14ac:dyDescent="0.4">
      <c r="AF102">
        <v>233.875</v>
      </c>
      <c r="AG102">
        <v>7.5270468181603398</v>
      </c>
      <c r="AH102">
        <f t="shared" si="68"/>
        <v>0</v>
      </c>
      <c r="AI102" s="12">
        <f t="shared" si="69"/>
        <v>0.15615432721064862</v>
      </c>
      <c r="AJ102" s="21">
        <f t="shared" si="70"/>
        <v>600512.65692819585</v>
      </c>
      <c r="BV102" s="20">
        <v>22.761361423731401</v>
      </c>
      <c r="BW102" s="20">
        <v>8.9777639316172699</v>
      </c>
      <c r="BX102">
        <f t="shared" si="71"/>
        <v>21.134000545192833</v>
      </c>
      <c r="BY102" s="12">
        <f t="shared" si="72"/>
        <v>0.50875547562038781</v>
      </c>
      <c r="BZ102" s="21">
        <f t="shared" si="73"/>
        <v>1408011.5108547451</v>
      </c>
    </row>
    <row r="103" spans="32:78" x14ac:dyDescent="0.4">
      <c r="AF103">
        <v>234.65994236311201</v>
      </c>
      <c r="AG103">
        <v>9.9888978126328691</v>
      </c>
      <c r="AH103">
        <f t="shared" si="68"/>
        <v>18.838616714688214</v>
      </c>
      <c r="AI103" s="12">
        <f t="shared" si="69"/>
        <v>0.20722730377394322</v>
      </c>
      <c r="AJ103" s="21">
        <f t="shared" si="70"/>
        <v>1952432.9840416999</v>
      </c>
      <c r="BV103" s="20">
        <v>22.761244596752199</v>
      </c>
      <c r="BW103" s="20">
        <v>8.6004127886599893</v>
      </c>
      <c r="BX103">
        <f t="shared" si="71"/>
        <v>21.13119669769199</v>
      </c>
      <c r="BY103" s="12">
        <f t="shared" si="72"/>
        <v>0.48737159187456686</v>
      </c>
      <c r="BZ103" s="21">
        <f t="shared" si="73"/>
        <v>1177341.673877229</v>
      </c>
    </row>
    <row r="104" spans="32:78" x14ac:dyDescent="0.4">
      <c r="AF104">
        <v>235.697406340057</v>
      </c>
      <c r="AG104">
        <v>9.9910237634053001</v>
      </c>
      <c r="AH104">
        <f t="shared" si="68"/>
        <v>43.737752161368007</v>
      </c>
      <c r="AI104" s="12">
        <f t="shared" si="69"/>
        <v>0.20727140824420517</v>
      </c>
      <c r="AJ104" s="21">
        <f t="shared" si="70"/>
        <v>1954164.9800055022</v>
      </c>
      <c r="BV104" s="20">
        <v>22.767280657346401</v>
      </c>
      <c r="BW104" s="20">
        <v>8.0968885081194699</v>
      </c>
      <c r="BX104">
        <f t="shared" si="71"/>
        <v>21.276062151952829</v>
      </c>
      <c r="BY104" s="12">
        <f t="shared" si="72"/>
        <v>0.45883767888865717</v>
      </c>
      <c r="BZ104" s="21">
        <f t="shared" si="73"/>
        <v>915653.39974344941</v>
      </c>
    </row>
    <row r="105" spans="32:78" x14ac:dyDescent="0.4">
      <c r="AF105">
        <v>236.50432276657</v>
      </c>
      <c r="AG105">
        <v>9.2549723626399594</v>
      </c>
      <c r="AH105">
        <f t="shared" si="68"/>
        <v>63.10374639767997</v>
      </c>
      <c r="AI105" s="12">
        <f t="shared" si="69"/>
        <v>0.19200146054019196</v>
      </c>
      <c r="AJ105" s="21">
        <f t="shared" si="70"/>
        <v>1420635.3558720271</v>
      </c>
      <c r="BV105" s="20">
        <v>22.7670664745511</v>
      </c>
      <c r="BW105" s="20">
        <v>7.4050780793644497</v>
      </c>
      <c r="BX105">
        <f t="shared" si="71"/>
        <v>21.270921764865619</v>
      </c>
      <c r="BY105" s="12">
        <f t="shared" si="72"/>
        <v>0.4196338920213184</v>
      </c>
      <c r="BZ105" s="21">
        <f t="shared" si="73"/>
        <v>631120.50557702908</v>
      </c>
    </row>
    <row r="106" spans="32:78" x14ac:dyDescent="0.4">
      <c r="AF106">
        <v>237.080691642651</v>
      </c>
      <c r="AG106">
        <v>9.9938583644352104</v>
      </c>
      <c r="AH106">
        <f t="shared" si="68"/>
        <v>76.936599423624102</v>
      </c>
      <c r="AI106" s="12">
        <f t="shared" si="69"/>
        <v>0.2073302142045545</v>
      </c>
      <c r="AJ106" s="21">
        <f t="shared" si="70"/>
        <v>1956476.1240855902</v>
      </c>
      <c r="BV106" s="20">
        <v>22.788348455936699</v>
      </c>
      <c r="BW106" s="20">
        <v>6.1458779547490101</v>
      </c>
      <c r="BX106">
        <f t="shared" si="71"/>
        <v>21.781689318119987</v>
      </c>
      <c r="BY106" s="12">
        <f t="shared" si="72"/>
        <v>0.34827704156506273</v>
      </c>
      <c r="BZ106" s="21">
        <f t="shared" si="73"/>
        <v>290294.29294496949</v>
      </c>
    </row>
    <row r="107" spans="32:78" x14ac:dyDescent="0.4">
      <c r="AF107">
        <v>237.080691642651</v>
      </c>
      <c r="AG107">
        <v>16.141399348041698</v>
      </c>
      <c r="AH107">
        <f t="shared" si="68"/>
        <v>76.936599423624102</v>
      </c>
      <c r="AI107" s="12">
        <f t="shared" si="69"/>
        <v>0.33486564071191638</v>
      </c>
      <c r="AJ107" s="21">
        <f t="shared" si="70"/>
        <v>14421414.281369066</v>
      </c>
      <c r="BV107" s="20">
        <v>22.803925386502499</v>
      </c>
      <c r="BW107" s="20">
        <v>6.45936368238638</v>
      </c>
      <c r="BX107">
        <f t="shared" si="71"/>
        <v>22.155535651699182</v>
      </c>
      <c r="BY107" s="12">
        <f t="shared" si="72"/>
        <v>0.36604177470787586</v>
      </c>
      <c r="BZ107" s="21">
        <f t="shared" si="73"/>
        <v>357159.89608301967</v>
      </c>
    </row>
    <row r="108" spans="32:78" x14ac:dyDescent="0.4">
      <c r="AF108">
        <v>237.42651296829899</v>
      </c>
      <c r="AG108">
        <v>16.388009637643499</v>
      </c>
      <c r="AH108">
        <f t="shared" si="68"/>
        <v>85.236311239175848</v>
      </c>
      <c r="AI108" s="12">
        <f t="shared" si="69"/>
        <v>0.33998175926229951</v>
      </c>
      <c r="AJ108" s="21">
        <f t="shared" si="70"/>
        <v>15361919.004508372</v>
      </c>
      <c r="BV108" s="20">
        <v>22.8259083297636</v>
      </c>
      <c r="BW108" s="20">
        <v>7.46427041551462</v>
      </c>
      <c r="BX108">
        <f t="shared" si="71"/>
        <v>22.6831262899656</v>
      </c>
      <c r="BY108" s="12">
        <f t="shared" si="72"/>
        <v>0.42298822672654574</v>
      </c>
      <c r="BZ108" s="21">
        <f t="shared" si="73"/>
        <v>652408.28600739234</v>
      </c>
    </row>
    <row r="109" spans="32:78" x14ac:dyDescent="0.4">
      <c r="AF109">
        <f>237+13/24</f>
        <v>237.54166666666666</v>
      </c>
      <c r="AG109">
        <v>20</v>
      </c>
      <c r="AH109">
        <f t="shared" si="68"/>
        <v>87.999999999999773</v>
      </c>
      <c r="AI109" s="12">
        <f t="shared" si="69"/>
        <v>0.4149152542372887</v>
      </c>
      <c r="AJ109" s="21">
        <f t="shared" si="70"/>
        <v>35227182.422929749</v>
      </c>
      <c r="BV109" s="20">
        <v>22.835429728571899</v>
      </c>
      <c r="BW109" s="20">
        <v>8.2183885665329601</v>
      </c>
      <c r="BX109">
        <f t="shared" si="71"/>
        <v>22.91163986136479</v>
      </c>
      <c r="BY109" s="12">
        <f t="shared" si="72"/>
        <v>0.46572289223096491</v>
      </c>
      <c r="BZ109" s="21">
        <f t="shared" si="73"/>
        <v>974278.78165949287</v>
      </c>
    </row>
    <row r="110" spans="32:78" x14ac:dyDescent="0.4">
      <c r="AF110">
        <v>237.5625</v>
      </c>
      <c r="AG110">
        <v>23.161764705882302</v>
      </c>
      <c r="AH110">
        <f t="shared" si="68"/>
        <v>88.5</v>
      </c>
      <c r="AI110" s="12">
        <f t="shared" si="69"/>
        <v>0.48050847457627083</v>
      </c>
      <c r="AJ110" s="21">
        <f t="shared" si="70"/>
        <v>64933395.810924657</v>
      </c>
      <c r="BV110" s="20">
        <v>22.8417773277775</v>
      </c>
      <c r="BW110" s="20">
        <v>8.7211340005451898</v>
      </c>
      <c r="BX110">
        <f t="shared" si="71"/>
        <v>23.063982242299204</v>
      </c>
      <c r="BY110" s="12">
        <f t="shared" si="72"/>
        <v>0.49421266923391116</v>
      </c>
      <c r="BZ110" s="21">
        <f t="shared" si="73"/>
        <v>1247745.7907137433</v>
      </c>
    </row>
    <row r="111" spans="32:78" x14ac:dyDescent="0.4">
      <c r="AF111">
        <v>237.5885416666666</v>
      </c>
      <c r="AG111">
        <v>25.524918300653599</v>
      </c>
      <c r="AH111">
        <f t="shared" si="68"/>
        <v>89.124999999998408</v>
      </c>
      <c r="AI111" s="12">
        <f t="shared" si="69"/>
        <v>0.52953389830508557</v>
      </c>
      <c r="AJ111" s="21">
        <f t="shared" si="70"/>
        <v>97335462.309516773</v>
      </c>
      <c r="BV111" s="20">
        <v>22.845087425522799</v>
      </c>
      <c r="BW111" s="20">
        <v>9.4127497176681292</v>
      </c>
      <c r="BX111">
        <f t="shared" si="71"/>
        <v>23.143424588186377</v>
      </c>
      <c r="BY111" s="12">
        <f t="shared" si="72"/>
        <v>0.53340542210550856</v>
      </c>
      <c r="BZ111" s="21">
        <f t="shared" si="73"/>
        <v>1714842.5263700993</v>
      </c>
    </row>
    <row r="112" spans="32:78" x14ac:dyDescent="0.4">
      <c r="AF112">
        <v>237.625</v>
      </c>
      <c r="AG112">
        <v>27.1078431372549</v>
      </c>
      <c r="AH112">
        <f t="shared" si="68"/>
        <v>90</v>
      </c>
      <c r="AI112" s="12">
        <f t="shared" si="69"/>
        <v>0.562372881355933</v>
      </c>
      <c r="AJ112" s="21">
        <f t="shared" si="70"/>
        <v>125068692.39313067</v>
      </c>
      <c r="BV112" s="20">
        <v>22.857471085322601</v>
      </c>
      <c r="BW112" s="20">
        <v>9.4119708711398395</v>
      </c>
      <c r="BX112">
        <f t="shared" si="71"/>
        <v>23.440632423381629</v>
      </c>
      <c r="BY112" s="12">
        <f t="shared" si="72"/>
        <v>0.53336128612254519</v>
      </c>
      <c r="BZ112" s="21">
        <f t="shared" si="73"/>
        <v>1714251.3848242485</v>
      </c>
    </row>
    <row r="113" spans="32:78" x14ac:dyDescent="0.4">
      <c r="AF113">
        <v>237.6510416666666</v>
      </c>
      <c r="AG113">
        <v>27.902369281045701</v>
      </c>
      <c r="AH113">
        <f t="shared" si="68"/>
        <v>90.624999999998408</v>
      </c>
      <c r="AI113" s="12">
        <f t="shared" si="69"/>
        <v>0.5788559322033896</v>
      </c>
      <c r="AJ113" s="21">
        <f t="shared" si="70"/>
        <v>141066568.55977842</v>
      </c>
      <c r="BV113" s="20">
        <v>22.866797772498899</v>
      </c>
      <c r="BW113" s="20">
        <v>9.5371704505627104</v>
      </c>
      <c r="BX113">
        <f t="shared" si="71"/>
        <v>23.664472915612777</v>
      </c>
      <c r="BY113" s="12">
        <f t="shared" si="72"/>
        <v>0.54045614538392928</v>
      </c>
      <c r="BZ113" s="21">
        <f t="shared" si="73"/>
        <v>1811285.3912863221</v>
      </c>
    </row>
    <row r="114" spans="32:78" x14ac:dyDescent="0.4">
      <c r="AF114">
        <v>237.671875</v>
      </c>
      <c r="AG114">
        <v>27.910539215686299</v>
      </c>
      <c r="AH114">
        <f t="shared" si="68"/>
        <v>91.125</v>
      </c>
      <c r="AI114" s="12">
        <f t="shared" si="69"/>
        <v>0.57902542372881494</v>
      </c>
      <c r="AJ114" s="21">
        <f t="shared" si="70"/>
        <v>141238752.12591726</v>
      </c>
      <c r="BV114" s="20">
        <v>22.876046575022301</v>
      </c>
      <c r="BW114" s="20">
        <v>9.4108026013474007</v>
      </c>
      <c r="BX114">
        <f t="shared" si="71"/>
        <v>23.886444176174422</v>
      </c>
      <c r="BY114" s="12">
        <f t="shared" si="72"/>
        <v>0.53329508214809984</v>
      </c>
      <c r="BZ114" s="21">
        <f t="shared" si="73"/>
        <v>1713364.9629054205</v>
      </c>
    </row>
    <row r="115" spans="32:78" x14ac:dyDescent="0.4">
      <c r="AF115">
        <v>237.6875</v>
      </c>
      <c r="AG115">
        <v>27.1323529411764</v>
      </c>
      <c r="AH115">
        <f t="shared" si="68"/>
        <v>91.5</v>
      </c>
      <c r="AI115" s="12">
        <f t="shared" si="69"/>
        <v>0.56288135593220268</v>
      </c>
      <c r="AJ115" s="21">
        <f t="shared" si="70"/>
        <v>125540542.36239783</v>
      </c>
      <c r="BV115" s="20">
        <v>22.882277347248699</v>
      </c>
      <c r="BW115" s="20">
        <v>9.5361968924023497</v>
      </c>
      <c r="BX115">
        <f t="shared" si="71"/>
        <v>24.035982709607993</v>
      </c>
      <c r="BY115" s="12">
        <f t="shared" si="72"/>
        <v>0.54040097540522514</v>
      </c>
      <c r="BZ115" s="21">
        <f t="shared" si="73"/>
        <v>1810515.112734563</v>
      </c>
    </row>
    <row r="116" spans="32:78" x14ac:dyDescent="0.4">
      <c r="AF116">
        <v>237.6979166666666</v>
      </c>
      <c r="AG116">
        <v>27.9207516339869</v>
      </c>
      <c r="AH116">
        <f t="shared" si="68"/>
        <v>91.749999999998408</v>
      </c>
      <c r="AI116" s="12">
        <f t="shared" si="69"/>
        <v>0.5792372881355935</v>
      </c>
      <c r="AJ116" s="21">
        <f t="shared" si="70"/>
        <v>141454206.14296207</v>
      </c>
      <c r="BV116" s="20">
        <v>22.8977569219985</v>
      </c>
      <c r="BW116" s="20">
        <v>9.5352233342419801</v>
      </c>
      <c r="BX116">
        <f t="shared" si="71"/>
        <v>24.407492503603208</v>
      </c>
      <c r="BY116" s="12">
        <f t="shared" si="72"/>
        <v>0.54034580542652044</v>
      </c>
      <c r="BZ116" s="21">
        <f t="shared" si="73"/>
        <v>1809745.0831640493</v>
      </c>
    </row>
    <row r="117" spans="32:78" x14ac:dyDescent="0.4">
      <c r="AF117">
        <v>237.734375</v>
      </c>
      <c r="AG117">
        <v>27.935049019607799</v>
      </c>
      <c r="AH117">
        <f t="shared" si="68"/>
        <v>92.625</v>
      </c>
      <c r="AI117" s="12">
        <f t="shared" si="69"/>
        <v>0.57953389830508462</v>
      </c>
      <c r="AJ117" s="21">
        <f t="shared" si="70"/>
        <v>141756261.29887426</v>
      </c>
      <c r="BV117" s="20">
        <v>22.903909809571999</v>
      </c>
      <c r="BW117" s="20">
        <v>9.4090501966587397</v>
      </c>
      <c r="BX117">
        <f t="shared" si="71"/>
        <v>24.555161805367192</v>
      </c>
      <c r="BY117" s="12">
        <f t="shared" si="72"/>
        <v>0.53319577618643166</v>
      </c>
      <c r="BZ117" s="21">
        <f t="shared" si="73"/>
        <v>1712035.9832415963</v>
      </c>
    </row>
    <row r="118" spans="32:78" x14ac:dyDescent="0.4">
      <c r="AF118">
        <v>237.77083333333331</v>
      </c>
      <c r="AG118">
        <v>27.557189542483599</v>
      </c>
      <c r="AH118">
        <f t="shared" si="68"/>
        <v>93.499999999999545</v>
      </c>
      <c r="AI118" s="12">
        <f t="shared" si="69"/>
        <v>0.57169491525423677</v>
      </c>
      <c r="AJ118" s="21">
        <f t="shared" si="70"/>
        <v>133936344.15594348</v>
      </c>
      <c r="BV118" s="20">
        <v>22.925581214221701</v>
      </c>
      <c r="BW118" s="20">
        <v>9.4076872152342297</v>
      </c>
      <c r="BX118">
        <f t="shared" si="71"/>
        <v>25.075275516960033</v>
      </c>
      <c r="BY118" s="12">
        <f t="shared" si="72"/>
        <v>0.53311853821624555</v>
      </c>
      <c r="BZ118" s="21">
        <f t="shared" si="73"/>
        <v>1711002.8741398517</v>
      </c>
    </row>
    <row r="119" spans="32:78" x14ac:dyDescent="0.4">
      <c r="AF119">
        <v>237.7916666666666</v>
      </c>
      <c r="AG119">
        <v>27.173202614379001</v>
      </c>
      <c r="AH119">
        <f t="shared" si="68"/>
        <v>93.999999999998408</v>
      </c>
      <c r="AI119" s="12">
        <f t="shared" si="69"/>
        <v>0.56372881355932114</v>
      </c>
      <c r="AJ119" s="21">
        <f t="shared" si="70"/>
        <v>126329964.06009655</v>
      </c>
      <c r="BV119" s="20">
        <v>22.931811986448</v>
      </c>
      <c r="BW119" s="20">
        <v>9.5330815062891805</v>
      </c>
      <c r="BX119">
        <f t="shared" si="71"/>
        <v>25.224814050391217</v>
      </c>
      <c r="BY119" s="12">
        <f t="shared" si="72"/>
        <v>0.54022443147337096</v>
      </c>
      <c r="BZ119" s="21">
        <f t="shared" si="73"/>
        <v>1808051.8942515627</v>
      </c>
    </row>
    <row r="120" spans="32:78" x14ac:dyDescent="0.4">
      <c r="AF120">
        <v>237.80208333333331</v>
      </c>
      <c r="AG120">
        <v>26.7851307189542</v>
      </c>
      <c r="AH120">
        <f t="shared" si="68"/>
        <v>94.249999999999545</v>
      </c>
      <c r="AI120" s="12">
        <f t="shared" si="69"/>
        <v>0.55567796610169473</v>
      </c>
      <c r="AJ120" s="21">
        <f t="shared" si="70"/>
        <v>118980823.07296543</v>
      </c>
      <c r="BV120" s="20">
        <v>22.9379648740215</v>
      </c>
      <c r="BW120" s="20">
        <v>9.40690836870594</v>
      </c>
      <c r="BX120">
        <f t="shared" si="71"/>
        <v>25.3724833521552</v>
      </c>
      <c r="BY120" s="12">
        <f t="shared" si="72"/>
        <v>0.53307440223328217</v>
      </c>
      <c r="BZ120" s="21">
        <f t="shared" si="73"/>
        <v>1710412.738847631</v>
      </c>
    </row>
    <row r="121" spans="32:78" x14ac:dyDescent="0.4">
      <c r="AF121">
        <v>237.828125</v>
      </c>
      <c r="AG121">
        <v>25.226715686274499</v>
      </c>
      <c r="AH121">
        <f t="shared" si="68"/>
        <v>94.875</v>
      </c>
      <c r="AI121" s="12">
        <f t="shared" si="69"/>
        <v>0.52334745762711921</v>
      </c>
      <c r="AJ121" s="21">
        <f t="shared" si="70"/>
        <v>92684240.513536841</v>
      </c>
      <c r="BV121" s="20">
        <v>22.9534444487713</v>
      </c>
      <c r="BW121" s="20">
        <v>9.4059348105455793</v>
      </c>
      <c r="BX121">
        <f t="shared" si="71"/>
        <v>25.743993146150416</v>
      </c>
      <c r="BY121" s="12">
        <f t="shared" si="72"/>
        <v>0.53301923225457792</v>
      </c>
      <c r="BZ121" s="21">
        <f t="shared" si="73"/>
        <v>1709675.2872818236</v>
      </c>
    </row>
    <row r="122" spans="32:78" x14ac:dyDescent="0.4">
      <c r="AF122">
        <v>237.84375</v>
      </c>
      <c r="AG122">
        <v>24.448529411764699</v>
      </c>
      <c r="AH122">
        <f t="shared" si="68"/>
        <v>95.25</v>
      </c>
      <c r="AI122" s="12">
        <f t="shared" si="69"/>
        <v>0.50720338983050905</v>
      </c>
      <c r="AJ122" s="21">
        <f t="shared" si="70"/>
        <v>81340345.928978592</v>
      </c>
      <c r="BV122" s="20">
        <v>22.962771135947602</v>
      </c>
      <c r="BW122" s="20">
        <v>9.5311343899684502</v>
      </c>
      <c r="BX122">
        <f t="shared" si="71"/>
        <v>25.967833638381649</v>
      </c>
      <c r="BY122" s="12">
        <f t="shared" si="72"/>
        <v>0.54011409151596212</v>
      </c>
      <c r="BZ122" s="21">
        <f t="shared" si="73"/>
        <v>1806513.6766004798</v>
      </c>
    </row>
    <row r="123" spans="32:78" x14ac:dyDescent="0.4">
      <c r="AF123">
        <v>237.859375</v>
      </c>
      <c r="AG123">
        <v>25.631127450980401</v>
      </c>
      <c r="AH123">
        <f t="shared" si="68"/>
        <v>95.625</v>
      </c>
      <c r="AI123" s="12">
        <f t="shared" si="69"/>
        <v>0.53173728813559418</v>
      </c>
      <c r="AJ123" s="21">
        <f t="shared" si="70"/>
        <v>99034166.805236816</v>
      </c>
      <c r="BV123" s="20">
        <v>22.972019938471099</v>
      </c>
      <c r="BW123" s="20">
        <v>9.4047665407531404</v>
      </c>
      <c r="BX123">
        <f t="shared" si="71"/>
        <v>26.189804898945596</v>
      </c>
      <c r="BY123" s="12">
        <f t="shared" si="72"/>
        <v>0.53295302828013258</v>
      </c>
      <c r="BZ123" s="21">
        <f t="shared" si="73"/>
        <v>1708790.6644038595</v>
      </c>
    </row>
    <row r="124" spans="32:78" x14ac:dyDescent="0.4">
      <c r="AF124">
        <v>237.875</v>
      </c>
      <c r="AG124">
        <v>25.637254901960802</v>
      </c>
      <c r="AH124">
        <f t="shared" si="68"/>
        <v>96</v>
      </c>
      <c r="AI124" s="12">
        <f t="shared" si="69"/>
        <v>0.53186440677966218</v>
      </c>
      <c r="AJ124" s="21">
        <f t="shared" si="70"/>
        <v>99132851.620078802</v>
      </c>
      <c r="BV124" s="20">
        <v>22.9874995132209</v>
      </c>
      <c r="BW124" s="20">
        <v>9.4037929825927709</v>
      </c>
      <c r="BX124">
        <f t="shared" si="71"/>
        <v>26.561314692940812</v>
      </c>
      <c r="BY124" s="12">
        <f t="shared" si="72"/>
        <v>0.532897858301428</v>
      </c>
      <c r="BZ124" s="21">
        <f t="shared" si="73"/>
        <v>1708053.7444428043</v>
      </c>
    </row>
    <row r="125" spans="32:78" x14ac:dyDescent="0.4">
      <c r="AF125">
        <v>237.8854166666666</v>
      </c>
      <c r="AG125">
        <v>25.249183006535901</v>
      </c>
      <c r="AH125">
        <f t="shared" si="68"/>
        <v>96.249999999998408</v>
      </c>
      <c r="AI125" s="12">
        <f t="shared" si="69"/>
        <v>0.52381355932203366</v>
      </c>
      <c r="AJ125" s="21">
        <f t="shared" si="70"/>
        <v>93028667.83663173</v>
      </c>
      <c r="BV125" s="20">
        <v>22.996826200397201</v>
      </c>
      <c r="BW125" s="20">
        <v>9.5289925620156506</v>
      </c>
      <c r="BX125">
        <f t="shared" si="71"/>
        <v>26.785155185172044</v>
      </c>
      <c r="BY125" s="12">
        <f t="shared" si="72"/>
        <v>0.53999271756281253</v>
      </c>
      <c r="BZ125" s="21">
        <f t="shared" si="73"/>
        <v>1804822.7861380519</v>
      </c>
    </row>
    <row r="126" spans="32:78" x14ac:dyDescent="0.4">
      <c r="AF126">
        <v>237.9010416666666</v>
      </c>
      <c r="AG126">
        <v>24.863153594771202</v>
      </c>
      <c r="AH126">
        <f t="shared" si="68"/>
        <v>96.624999999998408</v>
      </c>
      <c r="AI126" s="12">
        <f t="shared" si="69"/>
        <v>0.51580508474576259</v>
      </c>
      <c r="AJ126" s="21">
        <f t="shared" si="70"/>
        <v>87244316.938561648</v>
      </c>
      <c r="BV126" s="20">
        <v>23.009170917870598</v>
      </c>
      <c r="BW126" s="20">
        <v>9.4024300011682609</v>
      </c>
      <c r="BX126">
        <f t="shared" si="71"/>
        <v>27.081428404533568</v>
      </c>
      <c r="BY126" s="12">
        <f t="shared" si="72"/>
        <v>0.53282062033124178</v>
      </c>
      <c r="BZ126" s="21">
        <f t="shared" si="73"/>
        <v>1707022.4622922675</v>
      </c>
    </row>
    <row r="127" spans="32:78" x14ac:dyDescent="0.4">
      <c r="AF127">
        <v>237.94270833333331</v>
      </c>
      <c r="AG127">
        <v>26.0559640522875</v>
      </c>
      <c r="AH127">
        <f t="shared" si="68"/>
        <v>97.624999999999545</v>
      </c>
      <c r="AI127" s="12">
        <f t="shared" si="69"/>
        <v>0.54055084745762616</v>
      </c>
      <c r="AJ127" s="21">
        <f t="shared" si="70"/>
        <v>106055379.67597346</v>
      </c>
      <c r="BV127" s="20">
        <v>23.0215545776704</v>
      </c>
      <c r="BW127" s="20">
        <v>9.4016511546399695</v>
      </c>
      <c r="BX127">
        <f t="shared" si="71"/>
        <v>27.37863623972882</v>
      </c>
      <c r="BY127" s="12">
        <f t="shared" si="72"/>
        <v>0.53277648434827829</v>
      </c>
      <c r="BZ127" s="21">
        <f t="shared" si="73"/>
        <v>1706433.3707146388</v>
      </c>
    </row>
    <row r="128" spans="32:78" x14ac:dyDescent="0.4">
      <c r="AF128">
        <v>237.9635416666666</v>
      </c>
      <c r="AG128">
        <v>26.064133986928098</v>
      </c>
      <c r="AH128">
        <f t="shared" si="68"/>
        <v>98.124999999998408</v>
      </c>
      <c r="AI128" s="12">
        <f t="shared" si="69"/>
        <v>0.5407203389830515</v>
      </c>
      <c r="AJ128" s="21">
        <f t="shared" si="70"/>
        <v>106194006.89213981</v>
      </c>
      <c r="BV128" s="20">
        <v>23.027785349896799</v>
      </c>
      <c r="BW128" s="20">
        <v>9.5270454456949203</v>
      </c>
      <c r="BX128">
        <f t="shared" si="71"/>
        <v>27.528174773162391</v>
      </c>
      <c r="BY128" s="12">
        <f t="shared" si="72"/>
        <v>0.5398823776054037</v>
      </c>
      <c r="BZ128" s="21">
        <f t="shared" si="73"/>
        <v>1803286.6570161255</v>
      </c>
    </row>
    <row r="129" spans="32:78" x14ac:dyDescent="0.4">
      <c r="AF129">
        <v>237.98958333333331</v>
      </c>
      <c r="AG129">
        <v>25.290032679738498</v>
      </c>
      <c r="AH129">
        <f t="shared" si="68"/>
        <v>98.749999999999545</v>
      </c>
      <c r="AI129" s="12">
        <f t="shared" si="69"/>
        <v>0.52466101694915201</v>
      </c>
      <c r="AJ129" s="21">
        <f t="shared" si="70"/>
        <v>93657390.602033481</v>
      </c>
      <c r="BV129" s="20">
        <v>23.037073094746599</v>
      </c>
      <c r="BW129" s="20">
        <v>9.5264613107987</v>
      </c>
      <c r="BX129">
        <f t="shared" si="71"/>
        <v>27.751080649557593</v>
      </c>
      <c r="BY129" s="12">
        <f t="shared" si="72"/>
        <v>0.53984927561818097</v>
      </c>
      <c r="BZ129" s="21">
        <f t="shared" si="73"/>
        <v>1802826.0121013734</v>
      </c>
    </row>
    <row r="130" spans="32:78" x14ac:dyDescent="0.4">
      <c r="AF130">
        <v>238.015625</v>
      </c>
      <c r="AG130">
        <v>23.731617647058801</v>
      </c>
      <c r="AH130">
        <f t="shared" si="68"/>
        <v>99.375</v>
      </c>
      <c r="AI130" s="12">
        <f t="shared" si="69"/>
        <v>0.49233050847457649</v>
      </c>
      <c r="AJ130" s="21">
        <f t="shared" si="70"/>
        <v>71853873.845688745</v>
      </c>
      <c r="BV130" s="20">
        <v>23.046321897270101</v>
      </c>
      <c r="BW130" s="20">
        <v>9.4000934615833902</v>
      </c>
      <c r="BX130">
        <f t="shared" si="71"/>
        <v>27.973051910121626</v>
      </c>
      <c r="BY130" s="12">
        <f t="shared" si="72"/>
        <v>0.53268821238235153</v>
      </c>
      <c r="BZ130" s="21">
        <f t="shared" si="73"/>
        <v>1705255.6510823215</v>
      </c>
    </row>
    <row r="131" spans="32:78" x14ac:dyDescent="0.4">
      <c r="AF131">
        <v>238.0416666666666</v>
      </c>
      <c r="AG131">
        <v>23.349673202614401</v>
      </c>
      <c r="AH131">
        <f t="shared" si="68"/>
        <v>99.999999999998408</v>
      </c>
      <c r="AI131" s="12">
        <f t="shared" si="69"/>
        <v>0.48440677966101808</v>
      </c>
      <c r="AJ131" s="21">
        <f t="shared" si="70"/>
        <v>67156742.295899063</v>
      </c>
      <c r="BV131" s="20">
        <v>23.080376961719601</v>
      </c>
      <c r="BW131" s="20">
        <v>9.3979516336305906</v>
      </c>
      <c r="BX131">
        <f t="shared" si="71"/>
        <v>28.790373456909634</v>
      </c>
      <c r="BY131" s="12">
        <f t="shared" si="72"/>
        <v>0.53256683842920205</v>
      </c>
      <c r="BZ131" s="21">
        <f t="shared" si="73"/>
        <v>1703637.2953688006</v>
      </c>
    </row>
    <row r="132" spans="32:78" x14ac:dyDescent="0.4">
      <c r="AF132">
        <v>238.05208333333331</v>
      </c>
      <c r="AG132">
        <v>22.9616013071895</v>
      </c>
      <c r="AH132">
        <f t="shared" si="68"/>
        <v>100.24999999999955</v>
      </c>
      <c r="AI132" s="12">
        <f t="shared" si="69"/>
        <v>0.47635593220338962</v>
      </c>
      <c r="AJ132" s="21">
        <f t="shared" si="70"/>
        <v>62627052.974036366</v>
      </c>
      <c r="BV132" s="20">
        <v>23.086607733946</v>
      </c>
      <c r="BW132" s="20">
        <v>9.5233459246855308</v>
      </c>
      <c r="BX132">
        <f t="shared" si="71"/>
        <v>28.939911990343205</v>
      </c>
      <c r="BY132" s="12">
        <f t="shared" si="72"/>
        <v>0.53967273168632679</v>
      </c>
      <c r="BZ132" s="21">
        <f t="shared" si="73"/>
        <v>1800370.7493923916</v>
      </c>
    </row>
    <row r="133" spans="32:78" x14ac:dyDescent="0.4">
      <c r="AF133">
        <v>238.0625</v>
      </c>
      <c r="AG133">
        <v>21.397058823529399</v>
      </c>
      <c r="AH133">
        <f t="shared" ref="AH133:AH190" si="74">(AF133-233.875)*24</f>
        <v>100.5</v>
      </c>
      <c r="AI133" s="12">
        <f t="shared" ref="AI133:AI190" si="75">AG133/MAX(AG$4:AG$200)</f>
        <v>0.44389830508474615</v>
      </c>
      <c r="AJ133" s="21">
        <f t="shared" ref="AJ133:AJ190" si="76">IF(AG133=0, 1, POWER(AG133/2, 1/0.24) *2400)</f>
        <v>46672557.097561292</v>
      </c>
      <c r="BV133" s="20">
        <v>23.1113750535457</v>
      </c>
      <c r="BW133" s="20">
        <v>9.5217882316289497</v>
      </c>
      <c r="BX133">
        <f t="shared" ref="BX133:BX196" si="77">(BV133-MIN(BV$4:BV$66))*24</f>
        <v>29.534327660736011</v>
      </c>
      <c r="BY133" s="12">
        <f t="shared" ref="BY133:BY196" si="78">BW133/MAX(BW$4:BW$210)</f>
        <v>0.53958445972039992</v>
      </c>
      <c r="BZ133" s="21">
        <f t="shared" ref="BZ133:BZ196" si="79">IF(BW133=0, 1, POWER(BW133/2, 1/0.24) *2700)</f>
        <v>1799144.0714491573</v>
      </c>
    </row>
    <row r="134" spans="32:78" x14ac:dyDescent="0.4">
      <c r="AF134">
        <v>238.0729166666666</v>
      </c>
      <c r="AG134">
        <v>21.401143790849702</v>
      </c>
      <c r="AH134">
        <f t="shared" si="74"/>
        <v>100.74999999999841</v>
      </c>
      <c r="AI134" s="12">
        <f t="shared" si="75"/>
        <v>0.44398305084745882</v>
      </c>
      <c r="AJ134" s="21">
        <f t="shared" si="76"/>
        <v>46709694.89438349</v>
      </c>
      <c r="BV134" s="20">
        <v>23.1237197710191</v>
      </c>
      <c r="BW134" s="20">
        <v>9.3952256707815707</v>
      </c>
      <c r="BX134">
        <f t="shared" si="77"/>
        <v>29.83060088009762</v>
      </c>
      <c r="BY134" s="12">
        <f t="shared" si="78"/>
        <v>0.53241236248882973</v>
      </c>
      <c r="BZ134" s="21">
        <f t="shared" si="79"/>
        <v>1701579.2584273799</v>
      </c>
    </row>
    <row r="135" spans="32:78" x14ac:dyDescent="0.4">
      <c r="AF135">
        <v>238.09375</v>
      </c>
      <c r="AG135">
        <v>22.585784313725501</v>
      </c>
      <c r="AH135">
        <f t="shared" si="74"/>
        <v>101.25</v>
      </c>
      <c r="AI135" s="12">
        <f t="shared" si="75"/>
        <v>0.46855932203389922</v>
      </c>
      <c r="AJ135" s="21">
        <f t="shared" si="76"/>
        <v>58465476.698000021</v>
      </c>
      <c r="BV135" s="20">
        <v>23.1515830055687</v>
      </c>
      <c r="BW135" s="20">
        <v>9.3934732660929097</v>
      </c>
      <c r="BX135">
        <f t="shared" si="77"/>
        <v>30.499318509288003</v>
      </c>
      <c r="BY135" s="12">
        <f t="shared" si="78"/>
        <v>0.53231305652716154</v>
      </c>
      <c r="BZ135" s="21">
        <f t="shared" si="79"/>
        <v>1700257.2328056439</v>
      </c>
    </row>
    <row r="136" spans="32:78" x14ac:dyDescent="0.4">
      <c r="AF136">
        <v>238.109375</v>
      </c>
      <c r="AG136">
        <v>22.199754901960802</v>
      </c>
      <c r="AH136">
        <f t="shared" si="74"/>
        <v>101.625</v>
      </c>
      <c r="AI136" s="12">
        <f t="shared" si="75"/>
        <v>0.46055084745762814</v>
      </c>
      <c r="AJ136" s="21">
        <f t="shared" si="76"/>
        <v>54413125.784423657</v>
      </c>
      <c r="BV136" s="20">
        <v>23.157813777794999</v>
      </c>
      <c r="BW136" s="20">
        <v>9.5188675571478605</v>
      </c>
      <c r="BX136">
        <f t="shared" si="77"/>
        <v>30.648857042719186</v>
      </c>
      <c r="BY136" s="12">
        <f t="shared" si="78"/>
        <v>0.53941894978428695</v>
      </c>
      <c r="BZ136" s="21">
        <f t="shared" si="79"/>
        <v>1796845.7624800438</v>
      </c>
    </row>
    <row r="137" spans="32:78" x14ac:dyDescent="0.4">
      <c r="AF137">
        <v>238.125</v>
      </c>
      <c r="AG137">
        <v>20.637254901960802</v>
      </c>
      <c r="AH137">
        <f t="shared" si="74"/>
        <v>102</v>
      </c>
      <c r="AI137" s="12">
        <f t="shared" si="75"/>
        <v>0.42813559322033995</v>
      </c>
      <c r="AJ137" s="21">
        <f t="shared" si="76"/>
        <v>40145415.899117775</v>
      </c>
      <c r="BV137" s="20">
        <v>23.182581097394699</v>
      </c>
      <c r="BW137" s="20">
        <v>9.5173098640912794</v>
      </c>
      <c r="BX137">
        <f t="shared" si="77"/>
        <v>31.243272713111992</v>
      </c>
      <c r="BY137" s="12">
        <f t="shared" si="78"/>
        <v>0.53933067781836008</v>
      </c>
      <c r="BZ137" s="21">
        <f t="shared" si="79"/>
        <v>1795620.9104381879</v>
      </c>
    </row>
    <row r="138" spans="32:78" x14ac:dyDescent="0.4">
      <c r="AF138">
        <v>238.14583333333331</v>
      </c>
      <c r="AG138">
        <v>21.037581699346401</v>
      </c>
      <c r="AH138">
        <f t="shared" si="74"/>
        <v>102.49999999999955</v>
      </c>
      <c r="AI138" s="12">
        <f t="shared" si="75"/>
        <v>0.4364406779661022</v>
      </c>
      <c r="AJ138" s="21">
        <f t="shared" si="76"/>
        <v>43491276.827626877</v>
      </c>
      <c r="BV138" s="20">
        <v>23.185599127691798</v>
      </c>
      <c r="BW138" s="20">
        <v>9.2655477238210207</v>
      </c>
      <c r="BX138">
        <f t="shared" si="77"/>
        <v>31.315705440242368</v>
      </c>
      <c r="BY138" s="12">
        <f t="shared" si="78"/>
        <v>0.52506372132540524</v>
      </c>
      <c r="BZ138" s="21">
        <f t="shared" si="79"/>
        <v>1605837.8409364647</v>
      </c>
    </row>
    <row r="139" spans="32:78" x14ac:dyDescent="0.4">
      <c r="AF139">
        <v>238.1666666666666</v>
      </c>
      <c r="AG139">
        <v>21.0457516339869</v>
      </c>
      <c r="AH139">
        <f t="shared" si="74"/>
        <v>102.99999999999841</v>
      </c>
      <c r="AI139" s="12">
        <f t="shared" si="75"/>
        <v>0.43661016949152542</v>
      </c>
      <c r="AJ139" s="21">
        <f t="shared" si="76"/>
        <v>43561694.346296646</v>
      </c>
      <c r="BV139" s="20">
        <v>23.194808987888901</v>
      </c>
      <c r="BW139" s="20">
        <v>9.0133961602866108</v>
      </c>
      <c r="BX139">
        <f t="shared" si="77"/>
        <v>31.536742084972843</v>
      </c>
      <c r="BY139" s="12">
        <f t="shared" si="78"/>
        <v>0.51077469684096843</v>
      </c>
      <c r="BZ139" s="21">
        <f t="shared" si="79"/>
        <v>1431442.9081571181</v>
      </c>
    </row>
    <row r="140" spans="32:78" x14ac:dyDescent="0.4">
      <c r="AF140">
        <v>238.203125</v>
      </c>
      <c r="AG140">
        <v>20.667892156862699</v>
      </c>
      <c r="AH140">
        <f t="shared" si="74"/>
        <v>103.875</v>
      </c>
      <c r="AI140" s="12">
        <f t="shared" si="75"/>
        <v>0.42877118644067763</v>
      </c>
      <c r="AJ140" s="21">
        <f t="shared" si="76"/>
        <v>40394326.485863447</v>
      </c>
      <c r="BV140" s="20">
        <v>23.197729662370001</v>
      </c>
      <c r="BW140" s="20">
        <v>8.4471747342186205</v>
      </c>
      <c r="BX140">
        <f t="shared" si="77"/>
        <v>31.606838272519241</v>
      </c>
      <c r="BY140" s="12">
        <f t="shared" si="78"/>
        <v>0.47868783722649633</v>
      </c>
      <c r="BZ140" s="21">
        <f t="shared" si="79"/>
        <v>1092370.441603096</v>
      </c>
    </row>
    <row r="141" spans="32:78" x14ac:dyDescent="0.4">
      <c r="AF141">
        <v>238.2135416666666</v>
      </c>
      <c r="AG141">
        <v>21.064133986928098</v>
      </c>
      <c r="AH141">
        <f t="shared" si="74"/>
        <v>104.12499999999841</v>
      </c>
      <c r="AI141" s="12">
        <f t="shared" si="75"/>
        <v>0.43699152542372932</v>
      </c>
      <c r="AJ141" s="21">
        <f t="shared" si="76"/>
        <v>43720450.568478264</v>
      </c>
      <c r="BV141" s="20">
        <v>23.2006698080143</v>
      </c>
      <c r="BW141" s="20">
        <v>7.9438451653101696</v>
      </c>
      <c r="BX141">
        <f t="shared" si="77"/>
        <v>31.677401767982417</v>
      </c>
      <c r="BY141" s="12">
        <f t="shared" si="78"/>
        <v>0.4501649582363273</v>
      </c>
      <c r="BZ141" s="21">
        <f t="shared" si="79"/>
        <v>845668.83622846415</v>
      </c>
    </row>
    <row r="142" spans="32:78" x14ac:dyDescent="0.4">
      <c r="AF142">
        <v>238.21875</v>
      </c>
      <c r="AG142">
        <v>31.262254901960802</v>
      </c>
      <c r="AH142">
        <f t="shared" si="74"/>
        <v>104.25</v>
      </c>
      <c r="AI142" s="12">
        <f t="shared" si="75"/>
        <v>0.64855932203389954</v>
      </c>
      <c r="AJ142" s="21">
        <f t="shared" si="76"/>
        <v>226553534.73040828</v>
      </c>
      <c r="BV142" s="20">
        <v>23.2160325557848</v>
      </c>
      <c r="BW142" s="20">
        <v>7.5655204641925202</v>
      </c>
      <c r="BX142">
        <f t="shared" si="77"/>
        <v>32.046107714474402</v>
      </c>
      <c r="BY142" s="12">
        <f t="shared" si="78"/>
        <v>0.4287259045118017</v>
      </c>
      <c r="BZ142" s="21">
        <f t="shared" si="79"/>
        <v>690081.67030719493</v>
      </c>
    </row>
    <row r="143" spans="32:78" x14ac:dyDescent="0.4">
      <c r="AF143">
        <v>238.2291666666666</v>
      </c>
      <c r="AG143">
        <v>32.442810457516302</v>
      </c>
      <c r="AH143">
        <f t="shared" si="74"/>
        <v>104.49999999999841</v>
      </c>
      <c r="AI143" s="12">
        <f t="shared" si="75"/>
        <v>0.67305084745762733</v>
      </c>
      <c r="AJ143" s="21">
        <f t="shared" si="76"/>
        <v>264390927.4764365</v>
      </c>
      <c r="BV143" s="20">
        <v>23.219050586081998</v>
      </c>
      <c r="BW143" s="20">
        <v>7.3137583239222597</v>
      </c>
      <c r="BX143">
        <f t="shared" si="77"/>
        <v>32.118540441607166</v>
      </c>
      <c r="BY143" s="12">
        <f t="shared" si="78"/>
        <v>0.41445894801884681</v>
      </c>
      <c r="BZ143" s="21">
        <f t="shared" si="79"/>
        <v>599318.89675228857</v>
      </c>
    </row>
    <row r="144" spans="32:78" x14ac:dyDescent="0.4">
      <c r="AF144">
        <v>238.23958333333331</v>
      </c>
      <c r="AG144">
        <v>32.446895424836597</v>
      </c>
      <c r="AH144">
        <f t="shared" si="74"/>
        <v>104.74999999999955</v>
      </c>
      <c r="AI144" s="12">
        <f t="shared" si="75"/>
        <v>0.67313559322033989</v>
      </c>
      <c r="AJ144" s="21">
        <f t="shared" si="76"/>
        <v>264529664.38243574</v>
      </c>
      <c r="BV144" s="20">
        <v>23.234530160831799</v>
      </c>
      <c r="BW144" s="20">
        <v>7.3127847657618998</v>
      </c>
      <c r="BX144">
        <f t="shared" si="77"/>
        <v>32.490050235602382</v>
      </c>
      <c r="BY144" s="12">
        <f t="shared" si="78"/>
        <v>0.41440377804014267</v>
      </c>
      <c r="BZ144" s="21">
        <f t="shared" si="79"/>
        <v>598986.56143842207</v>
      </c>
    </row>
    <row r="145" spans="32:78" x14ac:dyDescent="0.4">
      <c r="AF145">
        <v>238.2604166666666</v>
      </c>
      <c r="AG145">
        <v>32.062908496732</v>
      </c>
      <c r="AH145">
        <f t="shared" si="74"/>
        <v>105.24999999999841</v>
      </c>
      <c r="AI145" s="12">
        <f t="shared" si="75"/>
        <v>0.66516949152542415</v>
      </c>
      <c r="AJ145" s="21">
        <f t="shared" si="76"/>
        <v>251728125.295948</v>
      </c>
      <c r="BV145" s="20">
        <v>23.2375092488025</v>
      </c>
      <c r="BW145" s="20">
        <v>6.9352389111725499</v>
      </c>
      <c r="BX145">
        <f t="shared" si="77"/>
        <v>32.561548346899201</v>
      </c>
      <c r="BY145" s="12">
        <f t="shared" si="78"/>
        <v>0.39300886029858101</v>
      </c>
      <c r="BZ145" s="21">
        <f t="shared" si="79"/>
        <v>480280.2483005292</v>
      </c>
    </row>
    <row r="146" spans="32:78" x14ac:dyDescent="0.4">
      <c r="AF146">
        <v>238.27083333333331</v>
      </c>
      <c r="AG146">
        <v>32.851307189542503</v>
      </c>
      <c r="AH146">
        <f t="shared" si="74"/>
        <v>105.49999999999955</v>
      </c>
      <c r="AI146" s="12">
        <f t="shared" si="75"/>
        <v>0.68152542372881497</v>
      </c>
      <c r="AJ146" s="21">
        <f t="shared" si="76"/>
        <v>278540910.03616297</v>
      </c>
      <c r="BV146" s="20">
        <v>23.265158300556799</v>
      </c>
      <c r="BW146" s="20">
        <v>6.2416760777288802</v>
      </c>
      <c r="BX146">
        <f t="shared" si="77"/>
        <v>33.225125589002374</v>
      </c>
      <c r="BY146" s="12">
        <f t="shared" si="78"/>
        <v>0.35370576746957477</v>
      </c>
      <c r="BZ146" s="21">
        <f t="shared" si="79"/>
        <v>309618.73067662021</v>
      </c>
    </row>
    <row r="147" spans="32:78" x14ac:dyDescent="0.4">
      <c r="AF147">
        <v>238.2760416666666</v>
      </c>
      <c r="AG147">
        <v>42.265114379084999</v>
      </c>
      <c r="AH147">
        <f t="shared" si="74"/>
        <v>105.62499999999841</v>
      </c>
      <c r="AI147" s="12">
        <f t="shared" si="75"/>
        <v>0.87682203389830693</v>
      </c>
      <c r="AJ147" s="21">
        <f t="shared" si="76"/>
        <v>795874876.84520376</v>
      </c>
      <c r="BV147" s="20">
        <v>23.271583784415199</v>
      </c>
      <c r="BW147" s="20">
        <v>6.9959889403792896</v>
      </c>
      <c r="BX147">
        <f t="shared" si="77"/>
        <v>33.379337201603988</v>
      </c>
      <c r="BY147" s="12">
        <f t="shared" si="78"/>
        <v>0.3964514669697346</v>
      </c>
      <c r="BZ147" s="21">
        <f t="shared" si="79"/>
        <v>498054.37374196097</v>
      </c>
    </row>
    <row r="148" spans="32:78" x14ac:dyDescent="0.4">
      <c r="AF148">
        <v>238.28645833333331</v>
      </c>
      <c r="AG148">
        <v>43.445669934640499</v>
      </c>
      <c r="AH148">
        <f t="shared" si="74"/>
        <v>105.87499999999955</v>
      </c>
      <c r="AI148" s="12">
        <f t="shared" si="75"/>
        <v>0.90131355932203472</v>
      </c>
      <c r="AJ148" s="21">
        <f t="shared" si="76"/>
        <v>892681778.50640547</v>
      </c>
      <c r="BV148" s="20">
        <v>23.2931188909225</v>
      </c>
      <c r="BW148" s="20">
        <v>6.5543829588379499</v>
      </c>
      <c r="BX148">
        <f t="shared" si="77"/>
        <v>33.896179757779208</v>
      </c>
      <c r="BY148" s="12">
        <f t="shared" si="78"/>
        <v>0.37142636462942386</v>
      </c>
      <c r="BZ148" s="21">
        <f t="shared" si="79"/>
        <v>379566.61063533928</v>
      </c>
    </row>
    <row r="149" spans="32:78" x14ac:dyDescent="0.4">
      <c r="AF149">
        <v>238.30208333333331</v>
      </c>
      <c r="AG149">
        <v>44.2361111111111</v>
      </c>
      <c r="AH149">
        <f t="shared" si="74"/>
        <v>106.24999999999955</v>
      </c>
      <c r="AI149" s="12">
        <f t="shared" si="75"/>
        <v>0.91771186440678076</v>
      </c>
      <c r="AJ149" s="21">
        <f t="shared" si="76"/>
        <v>962328860.90247905</v>
      </c>
      <c r="BV149" s="20">
        <v>23.311850149927899</v>
      </c>
      <c r="BW149" s="20">
        <v>7.0563495463218899</v>
      </c>
      <c r="BX149">
        <f t="shared" si="77"/>
        <v>34.345729973908789</v>
      </c>
      <c r="BY149" s="12">
        <f t="shared" si="78"/>
        <v>0.39987200564940673</v>
      </c>
      <c r="BZ149" s="21">
        <f t="shared" si="79"/>
        <v>516205.31768220704</v>
      </c>
    </row>
    <row r="150" spans="32:78" x14ac:dyDescent="0.4">
      <c r="AF150">
        <v>238.33333333333331</v>
      </c>
      <c r="AG150">
        <v>44.248366013071902</v>
      </c>
      <c r="AH150">
        <f t="shared" si="74"/>
        <v>106.99999999999955</v>
      </c>
      <c r="AI150" s="12">
        <f t="shared" si="75"/>
        <v>0.91796610169491666</v>
      </c>
      <c r="AJ150" s="21">
        <f t="shared" si="76"/>
        <v>963440172.03278399</v>
      </c>
      <c r="BV150" s="20">
        <v>23.318236691459902</v>
      </c>
      <c r="BW150" s="20">
        <v>7.6848786946532099</v>
      </c>
      <c r="BX150">
        <f t="shared" si="77"/>
        <v>34.499006970676845</v>
      </c>
      <c r="BY150" s="12">
        <f t="shared" si="78"/>
        <v>0.43548974390095979</v>
      </c>
      <c r="BZ150" s="21">
        <f t="shared" si="79"/>
        <v>736590.90358429088</v>
      </c>
    </row>
    <row r="151" spans="32:78" x14ac:dyDescent="0.4">
      <c r="AF151">
        <v>238.359375</v>
      </c>
      <c r="AG151">
        <v>45.042892156862699</v>
      </c>
      <c r="AH151">
        <f t="shared" si="74"/>
        <v>107.625</v>
      </c>
      <c r="AI151" s="12">
        <f t="shared" si="75"/>
        <v>0.93444915254237326</v>
      </c>
      <c r="AJ151" s="21">
        <f t="shared" si="76"/>
        <v>1037597805.3608207</v>
      </c>
      <c r="BV151" s="20">
        <v>23.321507846878699</v>
      </c>
      <c r="BW151" s="20">
        <v>8.2507106974570608</v>
      </c>
      <c r="BX151">
        <f t="shared" si="77"/>
        <v>34.577514700727988</v>
      </c>
      <c r="BY151" s="12">
        <f t="shared" si="78"/>
        <v>0.46755453552395054</v>
      </c>
      <c r="BZ151" s="21">
        <f t="shared" si="79"/>
        <v>990344.08640819846</v>
      </c>
    </row>
    <row r="152" spans="32:78" x14ac:dyDescent="0.4">
      <c r="AF152">
        <v>238.375</v>
      </c>
      <c r="AG152">
        <v>45.0490196078431</v>
      </c>
      <c r="AH152">
        <f t="shared" si="74"/>
        <v>108</v>
      </c>
      <c r="AI152" s="12">
        <f t="shared" si="75"/>
        <v>0.93457627118644127</v>
      </c>
      <c r="AJ152" s="21">
        <f t="shared" si="76"/>
        <v>1038186059.4054606</v>
      </c>
      <c r="BV152" s="20">
        <v>23.330717707075799</v>
      </c>
      <c r="BW152" s="20">
        <v>7.9985591339226501</v>
      </c>
      <c r="BX152">
        <f t="shared" si="77"/>
        <v>34.798551345458378</v>
      </c>
      <c r="BY152" s="12">
        <f t="shared" si="78"/>
        <v>0.45326551103951368</v>
      </c>
      <c r="BZ152" s="21">
        <f t="shared" si="79"/>
        <v>870204.08013251435</v>
      </c>
    </row>
    <row r="153" spans="32:78" x14ac:dyDescent="0.4">
      <c r="AF153">
        <v>238.390625</v>
      </c>
      <c r="AG153">
        <v>44.662990196078397</v>
      </c>
      <c r="AH153">
        <f t="shared" si="74"/>
        <v>108.375</v>
      </c>
      <c r="AI153" s="12">
        <f t="shared" si="75"/>
        <v>0.92656779661017008</v>
      </c>
      <c r="AJ153" s="21">
        <f t="shared" si="76"/>
        <v>1001617896.3250184</v>
      </c>
      <c r="BV153" s="20">
        <v>23.3492542544491</v>
      </c>
      <c r="BW153" s="20">
        <v>7.87160714981112</v>
      </c>
      <c r="BX153">
        <f t="shared" si="77"/>
        <v>35.243428482417613</v>
      </c>
      <c r="BY153" s="12">
        <f t="shared" si="78"/>
        <v>0.44607134581646146</v>
      </c>
      <c r="BZ153" s="21">
        <f t="shared" si="79"/>
        <v>814084.83297798166</v>
      </c>
    </row>
    <row r="154" spans="32:78" x14ac:dyDescent="0.4">
      <c r="AF154">
        <v>238.40625</v>
      </c>
      <c r="AG154">
        <v>44.669117647058798</v>
      </c>
      <c r="AH154">
        <f t="shared" si="74"/>
        <v>108.75</v>
      </c>
      <c r="AI154" s="12">
        <f t="shared" si="75"/>
        <v>0.92669491525423808</v>
      </c>
      <c r="AJ154" s="21">
        <f t="shared" si="76"/>
        <v>1002190583.1885742</v>
      </c>
      <c r="BV154" s="20">
        <v>23.358561470462199</v>
      </c>
      <c r="BW154" s="20">
        <v>7.9339148720744497</v>
      </c>
      <c r="BX154">
        <f t="shared" si="77"/>
        <v>35.466801666731982</v>
      </c>
      <c r="BY154" s="12">
        <f t="shared" si="78"/>
        <v>0.44960222445354242</v>
      </c>
      <c r="BZ154" s="21">
        <f t="shared" si="79"/>
        <v>841272.80539716338</v>
      </c>
    </row>
    <row r="155" spans="32:78" x14ac:dyDescent="0.4">
      <c r="AF155">
        <v>238.41145833333331</v>
      </c>
      <c r="AG155">
        <v>45.455473856209103</v>
      </c>
      <c r="AH155">
        <f t="shared" si="74"/>
        <v>108.87499999999955</v>
      </c>
      <c r="AI155" s="12">
        <f t="shared" si="75"/>
        <v>0.94300847457627157</v>
      </c>
      <c r="AJ155" s="21">
        <f t="shared" si="76"/>
        <v>1077776514.9097147</v>
      </c>
      <c r="BV155" s="20">
        <v>23.367732388332801</v>
      </c>
      <c r="BW155" s="20">
        <v>7.5559795942209496</v>
      </c>
      <c r="BX155">
        <f t="shared" si="77"/>
        <v>35.686903695626427</v>
      </c>
      <c r="BY155" s="12">
        <f t="shared" si="78"/>
        <v>0.42818523872049874</v>
      </c>
      <c r="BZ155" s="21">
        <f t="shared" si="79"/>
        <v>686462.81542509177</v>
      </c>
    </row>
    <row r="156" spans="32:78" x14ac:dyDescent="0.4">
      <c r="AF156">
        <v>238.4166666666666</v>
      </c>
      <c r="AG156">
        <v>48.202614379084899</v>
      </c>
      <c r="AH156">
        <f t="shared" si="74"/>
        <v>108.99999999999841</v>
      </c>
      <c r="AI156" s="12">
        <f t="shared" si="75"/>
        <v>1</v>
      </c>
      <c r="AJ156" s="21">
        <f t="shared" si="76"/>
        <v>1376301978.1364498</v>
      </c>
      <c r="BV156" s="20">
        <v>23.380135519295902</v>
      </c>
      <c r="BW156" s="20">
        <v>7.61809260485221</v>
      </c>
      <c r="BX156">
        <f t="shared" si="77"/>
        <v>35.984578838740845</v>
      </c>
      <c r="BY156" s="12">
        <f t="shared" si="78"/>
        <v>0.43170508336183905</v>
      </c>
      <c r="BZ156" s="21">
        <f t="shared" si="79"/>
        <v>710283.09850147879</v>
      </c>
    </row>
    <row r="157" spans="32:78" x14ac:dyDescent="0.4">
      <c r="AF157">
        <v>238.4375</v>
      </c>
      <c r="AG157">
        <v>47.818627450980401</v>
      </c>
      <c r="AH157">
        <f t="shared" si="74"/>
        <v>109.5</v>
      </c>
      <c r="AI157" s="12">
        <f t="shared" si="75"/>
        <v>0.99203389830508637</v>
      </c>
      <c r="AJ157" s="21">
        <f t="shared" si="76"/>
        <v>1331192522.2612956</v>
      </c>
      <c r="BV157" s="20">
        <v>23.3802523462751</v>
      </c>
      <c r="BW157" s="20">
        <v>7.9954437478094897</v>
      </c>
      <c r="BX157">
        <f t="shared" si="77"/>
        <v>35.987382686241602</v>
      </c>
      <c r="BY157" s="12">
        <f t="shared" si="78"/>
        <v>0.45308896710765995</v>
      </c>
      <c r="BZ157" s="21">
        <f t="shared" si="79"/>
        <v>868792.70598669804</v>
      </c>
    </row>
    <row r="158" spans="32:78" x14ac:dyDescent="0.4">
      <c r="AF158">
        <v>238.4635416666666</v>
      </c>
      <c r="AG158">
        <v>46.652369281045701</v>
      </c>
      <c r="AH158">
        <f t="shared" si="74"/>
        <v>110.12499999999841</v>
      </c>
      <c r="AI158" s="12">
        <f t="shared" si="75"/>
        <v>0.96783898305084781</v>
      </c>
      <c r="AJ158" s="21">
        <f t="shared" si="76"/>
        <v>1201047073.1196513</v>
      </c>
      <c r="BV158" s="20">
        <v>23.389442735309</v>
      </c>
      <c r="BW158" s="20">
        <v>7.6804003271155397</v>
      </c>
      <c r="BX158">
        <f t="shared" si="77"/>
        <v>36.207952023055213</v>
      </c>
      <c r="BY158" s="12">
        <f t="shared" si="78"/>
        <v>0.43523596199892001</v>
      </c>
      <c r="BZ158" s="21">
        <f t="shared" si="79"/>
        <v>734804.01657554682</v>
      </c>
    </row>
    <row r="159" spans="32:78" x14ac:dyDescent="0.4">
      <c r="AF159">
        <v>238.4947916666666</v>
      </c>
      <c r="AG159">
        <v>45.880310457516302</v>
      </c>
      <c r="AH159">
        <f t="shared" si="74"/>
        <v>110.87499999999841</v>
      </c>
      <c r="AI159" s="12">
        <f t="shared" si="75"/>
        <v>0.95182203389830566</v>
      </c>
      <c r="AJ159" s="21">
        <f t="shared" si="76"/>
        <v>1120373194.7679427</v>
      </c>
      <c r="BV159" s="20">
        <v>23.4169944312473</v>
      </c>
      <c r="BW159" s="20">
        <v>6.6723782078741296</v>
      </c>
      <c r="BX159">
        <f t="shared" si="77"/>
        <v>36.869192725574408</v>
      </c>
      <c r="BY159" s="12">
        <f t="shared" si="78"/>
        <v>0.37811296604839589</v>
      </c>
      <c r="BZ159" s="21">
        <f t="shared" si="79"/>
        <v>408860.2085990521</v>
      </c>
    </row>
    <row r="160" spans="32:78" x14ac:dyDescent="0.4">
      <c r="AF160">
        <v>238.515625</v>
      </c>
      <c r="AG160">
        <v>45.1041666666667</v>
      </c>
      <c r="AH160">
        <f t="shared" si="74"/>
        <v>111.375</v>
      </c>
      <c r="AI160" s="12">
        <f t="shared" si="75"/>
        <v>0.93572033898305285</v>
      </c>
      <c r="AJ160" s="21">
        <f t="shared" si="76"/>
        <v>1043491759.0514511</v>
      </c>
      <c r="BV160" s="20">
        <v>23.442053818295101</v>
      </c>
      <c r="BW160" s="20">
        <v>7.6141983722107502</v>
      </c>
      <c r="BX160">
        <f t="shared" si="77"/>
        <v>37.470618014721623</v>
      </c>
      <c r="BY160" s="12">
        <f t="shared" si="78"/>
        <v>0.43148440344702138</v>
      </c>
      <c r="BZ160" s="21">
        <f t="shared" si="79"/>
        <v>708771.47245740949</v>
      </c>
    </row>
    <row r="161" spans="32:78" x14ac:dyDescent="0.4">
      <c r="AF161">
        <v>238.53125</v>
      </c>
      <c r="AG161">
        <v>43.933823529411796</v>
      </c>
      <c r="AH161">
        <f t="shared" si="74"/>
        <v>111.75</v>
      </c>
      <c r="AI161" s="12">
        <f t="shared" si="75"/>
        <v>0.91144067796610362</v>
      </c>
      <c r="AJ161" s="21">
        <f t="shared" si="76"/>
        <v>935223544.2488178</v>
      </c>
      <c r="BV161" s="20">
        <v>23.4421511741111</v>
      </c>
      <c r="BW161" s="20">
        <v>7.92865765800848</v>
      </c>
      <c r="BX161">
        <f t="shared" si="77"/>
        <v>37.472954554305602</v>
      </c>
      <c r="BY161" s="12">
        <f t="shared" si="78"/>
        <v>0.44930430656853865</v>
      </c>
      <c r="BZ161" s="21">
        <f t="shared" si="79"/>
        <v>838952.53783017863</v>
      </c>
    </row>
    <row r="162" spans="32:78" x14ac:dyDescent="0.4">
      <c r="AF162">
        <v>238.5572916666666</v>
      </c>
      <c r="AG162">
        <v>40.414624183006502</v>
      </c>
      <c r="AH162">
        <f t="shared" si="74"/>
        <v>112.37499999999841</v>
      </c>
      <c r="AI162" s="12">
        <f t="shared" si="75"/>
        <v>0.83843220338983104</v>
      </c>
      <c r="AJ162" s="21">
        <f t="shared" si="76"/>
        <v>660435174.81087053</v>
      </c>
      <c r="BV162" s="20">
        <v>23.451594688266599</v>
      </c>
      <c r="BW162" s="20">
        <v>8.4312083803886395</v>
      </c>
      <c r="BX162">
        <f t="shared" si="77"/>
        <v>37.699598894037592</v>
      </c>
      <c r="BY162" s="12">
        <f t="shared" si="78"/>
        <v>0.47778304957574419</v>
      </c>
      <c r="BZ162" s="21">
        <f t="shared" si="79"/>
        <v>1083793.0926997506</v>
      </c>
    </row>
    <row r="163" spans="32:78" x14ac:dyDescent="0.4">
      <c r="AF163">
        <v>238.56770833333331</v>
      </c>
      <c r="AG163">
        <v>37.6736111111111</v>
      </c>
      <c r="AH163">
        <f t="shared" si="74"/>
        <v>112.62499999999955</v>
      </c>
      <c r="AI163" s="12">
        <f t="shared" si="75"/>
        <v>0.7815677966101704</v>
      </c>
      <c r="AJ163" s="21">
        <f t="shared" si="76"/>
        <v>492880311.07396156</v>
      </c>
      <c r="BV163" s="20">
        <v>23.4576307488609</v>
      </c>
      <c r="BW163" s="20">
        <v>7.9276840998481202</v>
      </c>
      <c r="BX163">
        <f t="shared" si="77"/>
        <v>37.844464348300818</v>
      </c>
      <c r="BY163" s="12">
        <f t="shared" si="78"/>
        <v>0.44924913658983451</v>
      </c>
      <c r="BZ163" s="21">
        <f t="shared" si="79"/>
        <v>838523.39293540863</v>
      </c>
    </row>
    <row r="164" spans="32:78" x14ac:dyDescent="0.4">
      <c r="AF164">
        <v>238.58333333333331</v>
      </c>
      <c r="AG164">
        <v>26.307189542483599</v>
      </c>
      <c r="AH164">
        <f t="shared" si="74"/>
        <v>112.99999999999955</v>
      </c>
      <c r="AI164" s="12">
        <f t="shared" si="75"/>
        <v>0.54576271186440628</v>
      </c>
      <c r="AJ164" s="21">
        <f t="shared" si="76"/>
        <v>110381549.0041215</v>
      </c>
      <c r="BV164" s="20">
        <v>23.472759842673</v>
      </c>
      <c r="BW164" s="20">
        <v>6.7946571128159103</v>
      </c>
      <c r="BX164">
        <f t="shared" si="77"/>
        <v>38.207562599791203</v>
      </c>
      <c r="BY164" s="12">
        <f t="shared" si="78"/>
        <v>0.38504231537366701</v>
      </c>
      <c r="BZ164" s="21">
        <f t="shared" si="79"/>
        <v>440998.27182558359</v>
      </c>
    </row>
    <row r="165" spans="32:78" x14ac:dyDescent="0.4">
      <c r="AF165">
        <v>238.6041666666666</v>
      </c>
      <c r="AG165">
        <v>17.687908496732</v>
      </c>
      <c r="AH165">
        <f t="shared" si="74"/>
        <v>113.49999999999841</v>
      </c>
      <c r="AI165" s="12">
        <f t="shared" si="75"/>
        <v>0.36694915254237287</v>
      </c>
      <c r="AJ165" s="21">
        <f t="shared" si="76"/>
        <v>21114052.889883202</v>
      </c>
      <c r="BV165" s="20">
        <v>23.488239417422701</v>
      </c>
      <c r="BW165" s="20">
        <v>6.7936835546555496</v>
      </c>
      <c r="BX165">
        <f t="shared" si="77"/>
        <v>38.579072393784031</v>
      </c>
      <c r="BY165" s="12">
        <f t="shared" si="78"/>
        <v>0.38498714539496287</v>
      </c>
      <c r="BZ165" s="21">
        <f t="shared" si="79"/>
        <v>440735.05025572528</v>
      </c>
    </row>
    <row r="166" spans="32:78" x14ac:dyDescent="0.4">
      <c r="AF166">
        <v>238.609375</v>
      </c>
      <c r="AG166">
        <v>17.689950980392101</v>
      </c>
      <c r="AH166">
        <f t="shared" si="74"/>
        <v>113.625</v>
      </c>
      <c r="AI166" s="12">
        <f t="shared" si="75"/>
        <v>0.3669915254237282</v>
      </c>
      <c r="AJ166" s="21">
        <f t="shared" si="76"/>
        <v>21124213.548830502</v>
      </c>
      <c r="BV166" s="20">
        <v>23.494353362669798</v>
      </c>
      <c r="BW166" s="20">
        <v>6.5417267027532198</v>
      </c>
      <c r="BX166">
        <f t="shared" si="77"/>
        <v>38.725807079714372</v>
      </c>
      <c r="BY166" s="12">
        <f t="shared" si="78"/>
        <v>0.37070915490626727</v>
      </c>
      <c r="BZ166" s="21">
        <f t="shared" si="79"/>
        <v>376522.06680042652</v>
      </c>
    </row>
    <row r="167" spans="32:78" x14ac:dyDescent="0.4">
      <c r="AF167">
        <v>238.6197916666666</v>
      </c>
      <c r="AG167">
        <v>18.478349673202601</v>
      </c>
      <c r="AH167">
        <f t="shared" si="74"/>
        <v>113.87499999999841</v>
      </c>
      <c r="AI167" s="12">
        <f t="shared" si="75"/>
        <v>0.38334745762711891</v>
      </c>
      <c r="AJ167" s="21">
        <f t="shared" si="76"/>
        <v>25332779.794281196</v>
      </c>
      <c r="BV167" s="20">
        <v>23.509930293235701</v>
      </c>
      <c r="BW167" s="20">
        <v>6.8552124303905897</v>
      </c>
      <c r="BX167">
        <f t="shared" si="77"/>
        <v>39.099653413296039</v>
      </c>
      <c r="BY167" s="12">
        <f t="shared" si="78"/>
        <v>0.3884738880490804</v>
      </c>
      <c r="BZ167" s="21">
        <f t="shared" si="79"/>
        <v>457606.94222020864</v>
      </c>
    </row>
    <row r="168" spans="32:78" x14ac:dyDescent="0.4">
      <c r="AF168">
        <v>238.6354166666666</v>
      </c>
      <c r="AG168">
        <v>16.915849673202601</v>
      </c>
      <c r="AH168">
        <f t="shared" si="74"/>
        <v>114.24999999999841</v>
      </c>
      <c r="AI168" s="12">
        <f t="shared" si="75"/>
        <v>0.35093220338983072</v>
      </c>
      <c r="AJ168" s="21">
        <f t="shared" si="76"/>
        <v>17531153.702800028</v>
      </c>
      <c r="BV168" s="20">
        <v>23.513123564001699</v>
      </c>
      <c r="BW168" s="20">
        <v>7.1694770045562501</v>
      </c>
      <c r="BX168">
        <f t="shared" si="77"/>
        <v>39.176291911679982</v>
      </c>
      <c r="BY168" s="12">
        <f t="shared" si="78"/>
        <v>0.40628275717485696</v>
      </c>
      <c r="BZ168" s="21">
        <f t="shared" si="79"/>
        <v>551573.33931392408</v>
      </c>
    </row>
    <row r="169" spans="32:78" x14ac:dyDescent="0.4">
      <c r="AF169">
        <v>238.640625</v>
      </c>
      <c r="AG169">
        <v>20.839460784313701</v>
      </c>
      <c r="AH169">
        <f t="shared" si="74"/>
        <v>114.375</v>
      </c>
      <c r="AI169" s="12">
        <f t="shared" si="75"/>
        <v>0.43233050847457638</v>
      </c>
      <c r="AJ169" s="21">
        <f t="shared" si="76"/>
        <v>41809975.791674197</v>
      </c>
      <c r="BV169" s="20">
        <v>23.519412749717599</v>
      </c>
      <c r="BW169" s="20">
        <v>7.4835468670898297</v>
      </c>
      <c r="BX169">
        <f t="shared" si="77"/>
        <v>39.327232368861587</v>
      </c>
      <c r="BY169" s="12">
        <f t="shared" si="78"/>
        <v>0.4240805923048922</v>
      </c>
      <c r="BZ169" s="21">
        <f t="shared" si="79"/>
        <v>659457.21999494301</v>
      </c>
    </row>
    <row r="170" spans="32:78" x14ac:dyDescent="0.4">
      <c r="AF170">
        <v>238.65625</v>
      </c>
      <c r="AG170">
        <v>21.629901960784299</v>
      </c>
      <c r="AH170">
        <f t="shared" si="74"/>
        <v>114.75</v>
      </c>
      <c r="AI170" s="12">
        <f t="shared" si="75"/>
        <v>0.44872881355932237</v>
      </c>
      <c r="AJ170" s="21">
        <f t="shared" si="76"/>
        <v>48825521.295824841</v>
      </c>
      <c r="BV170" s="20">
        <v>23.531699053701399</v>
      </c>
      <c r="BW170" s="20">
        <v>7.1683087347638104</v>
      </c>
      <c r="BX170">
        <f t="shared" si="77"/>
        <v>39.622103664472775</v>
      </c>
      <c r="BY170" s="12">
        <f t="shared" si="78"/>
        <v>0.40621655320041156</v>
      </c>
      <c r="BZ170" s="21">
        <f t="shared" si="79"/>
        <v>551198.93948270369</v>
      </c>
    </row>
    <row r="171" spans="32:78" x14ac:dyDescent="0.4">
      <c r="AF171">
        <v>238.6666666666666</v>
      </c>
      <c r="AG171">
        <v>21.241830065359402</v>
      </c>
      <c r="AH171">
        <f t="shared" si="74"/>
        <v>114.99999999999841</v>
      </c>
      <c r="AI171" s="12">
        <f t="shared" si="75"/>
        <v>0.44067796610169396</v>
      </c>
      <c r="AJ171" s="21">
        <f t="shared" si="76"/>
        <v>45277867.974576905</v>
      </c>
      <c r="BV171" s="20">
        <v>23.537754585458899</v>
      </c>
      <c r="BW171" s="20">
        <v>6.7276763113828402</v>
      </c>
      <c r="BX171">
        <f t="shared" si="77"/>
        <v>39.767436426652779</v>
      </c>
      <c r="BY171" s="12">
        <f t="shared" si="78"/>
        <v>0.38124662083880551</v>
      </c>
      <c r="BZ171" s="21">
        <f t="shared" si="79"/>
        <v>423165.23637818947</v>
      </c>
    </row>
    <row r="172" spans="32:78" x14ac:dyDescent="0.4">
      <c r="AF172">
        <v>238.6822916666666</v>
      </c>
      <c r="AG172">
        <v>20.463643790849702</v>
      </c>
      <c r="AH172">
        <f t="shared" si="74"/>
        <v>115.37499999999841</v>
      </c>
      <c r="AI172" s="12">
        <f t="shared" si="75"/>
        <v>0.42453389830508592</v>
      </c>
      <c r="AJ172" s="21">
        <f t="shared" si="76"/>
        <v>38756863.574844368</v>
      </c>
      <c r="BV172" s="20">
        <v>23.5656567623349</v>
      </c>
      <c r="BW172" s="20">
        <v>6.8517076210132704</v>
      </c>
      <c r="BX172">
        <f t="shared" si="77"/>
        <v>40.437088671676804</v>
      </c>
      <c r="BY172" s="12">
        <f t="shared" si="78"/>
        <v>0.3882752761257442</v>
      </c>
      <c r="BZ172" s="21">
        <f t="shared" si="79"/>
        <v>456632.9101093529</v>
      </c>
    </row>
    <row r="173" spans="32:78" x14ac:dyDescent="0.4">
      <c r="AF173">
        <v>238.6979166666666</v>
      </c>
      <c r="AG173">
        <v>20.469771241830099</v>
      </c>
      <c r="AH173">
        <f t="shared" si="74"/>
        <v>115.74999999999841</v>
      </c>
      <c r="AI173" s="12">
        <f t="shared" si="75"/>
        <v>0.42466101694915381</v>
      </c>
      <c r="AJ173" s="21">
        <f t="shared" si="76"/>
        <v>38805240.710969821</v>
      </c>
      <c r="BV173" s="20">
        <v>23.571945948050899</v>
      </c>
      <c r="BW173" s="20">
        <v>7.1657774835468597</v>
      </c>
      <c r="BX173">
        <f t="shared" si="77"/>
        <v>40.588029128860796</v>
      </c>
      <c r="BY173" s="12">
        <f t="shared" si="78"/>
        <v>0.40607311125577999</v>
      </c>
      <c r="BZ173" s="21">
        <f t="shared" si="79"/>
        <v>550388.40245718916</v>
      </c>
    </row>
    <row r="174" spans="32:78" x14ac:dyDescent="0.4">
      <c r="AF174">
        <v>238.70833333333331</v>
      </c>
      <c r="AG174">
        <v>19.297385620915001</v>
      </c>
      <c r="AH174">
        <f t="shared" si="74"/>
        <v>115.99999999999955</v>
      </c>
      <c r="AI174" s="12">
        <f t="shared" si="75"/>
        <v>0.40033898305084736</v>
      </c>
      <c r="AJ174" s="21">
        <f t="shared" si="76"/>
        <v>30350317.655768842</v>
      </c>
      <c r="BV174" s="20">
        <v>23.578059893298001</v>
      </c>
      <c r="BW174" s="20">
        <v>6.9138206316445299</v>
      </c>
      <c r="BX174">
        <f t="shared" si="77"/>
        <v>40.734763814791222</v>
      </c>
      <c r="BY174" s="12">
        <f t="shared" si="78"/>
        <v>0.39179512076708445</v>
      </c>
      <c r="BZ174" s="21">
        <f t="shared" si="79"/>
        <v>474130.1429940135</v>
      </c>
    </row>
    <row r="175" spans="32:78" x14ac:dyDescent="0.4">
      <c r="AF175">
        <v>238.71875</v>
      </c>
      <c r="AG175">
        <v>17.7328431372549</v>
      </c>
      <c r="AH175">
        <f t="shared" si="74"/>
        <v>116.25</v>
      </c>
      <c r="AI175" s="12">
        <f t="shared" si="75"/>
        <v>0.36788135593220389</v>
      </c>
      <c r="AJ175" s="21">
        <f t="shared" si="76"/>
        <v>21338447.135902282</v>
      </c>
      <c r="BV175" s="20">
        <v>23.593753650843102</v>
      </c>
      <c r="BW175" s="20">
        <v>7.6046575022391796</v>
      </c>
      <c r="BX175">
        <f t="shared" si="77"/>
        <v>41.111413995873647</v>
      </c>
      <c r="BY175" s="12">
        <f t="shared" si="78"/>
        <v>0.43094373765571847</v>
      </c>
      <c r="BZ175" s="21">
        <f t="shared" si="79"/>
        <v>705078.32138639537</v>
      </c>
    </row>
    <row r="176" spans="32:78" x14ac:dyDescent="0.4">
      <c r="AF176">
        <v>238.734375</v>
      </c>
      <c r="AG176">
        <v>16.9546568627451</v>
      </c>
      <c r="AH176">
        <f t="shared" si="74"/>
        <v>116.625</v>
      </c>
      <c r="AI176" s="12">
        <f t="shared" si="75"/>
        <v>0.35173728813559374</v>
      </c>
      <c r="AJ176" s="21">
        <f t="shared" si="76"/>
        <v>17699341.661263403</v>
      </c>
      <c r="BV176" s="20">
        <v>23.600042836558998</v>
      </c>
      <c r="BW176" s="20">
        <v>7.9187273647727698</v>
      </c>
      <c r="BX176">
        <f t="shared" si="77"/>
        <v>41.262354453055167</v>
      </c>
      <c r="BY176" s="12">
        <f t="shared" si="78"/>
        <v>0.44874157278575433</v>
      </c>
      <c r="BZ176" s="21">
        <f t="shared" si="79"/>
        <v>834583.08301578776</v>
      </c>
    </row>
    <row r="177" spans="32:78" x14ac:dyDescent="0.4">
      <c r="AF177">
        <v>238.75520833333331</v>
      </c>
      <c r="AG177">
        <v>17.747140522875799</v>
      </c>
      <c r="AH177">
        <f t="shared" si="74"/>
        <v>117.12499999999955</v>
      </c>
      <c r="AI177" s="12">
        <f t="shared" si="75"/>
        <v>0.36817796610169506</v>
      </c>
      <c r="AJ177" s="21">
        <f t="shared" si="76"/>
        <v>21410223.955657713</v>
      </c>
      <c r="BV177" s="20">
        <v>23.609252696756101</v>
      </c>
      <c r="BW177" s="20">
        <v>7.66657580123836</v>
      </c>
      <c r="BX177">
        <f t="shared" si="77"/>
        <v>41.483391097785642</v>
      </c>
      <c r="BY177" s="12">
        <f t="shared" si="78"/>
        <v>0.43445254830131746</v>
      </c>
      <c r="BZ177" s="21">
        <f t="shared" si="79"/>
        <v>729308.7496569216</v>
      </c>
    </row>
    <row r="178" spans="32:78" x14ac:dyDescent="0.4">
      <c r="AF178">
        <v>238.77083333333331</v>
      </c>
      <c r="AG178">
        <v>18.929738562091501</v>
      </c>
      <c r="AH178">
        <f t="shared" si="74"/>
        <v>117.49999999999955</v>
      </c>
      <c r="AI178" s="12">
        <f t="shared" si="75"/>
        <v>0.39271186440678019</v>
      </c>
      <c r="AJ178" s="21">
        <f t="shared" si="76"/>
        <v>28012733.720110018</v>
      </c>
      <c r="BV178" s="20">
        <v>23.6181899606682</v>
      </c>
      <c r="BW178" s="20">
        <v>6.5339382374703003</v>
      </c>
      <c r="BX178">
        <f t="shared" si="77"/>
        <v>41.697885431676013</v>
      </c>
      <c r="BY178" s="12">
        <f t="shared" si="78"/>
        <v>0.37026779507663199</v>
      </c>
      <c r="BZ178" s="21">
        <f t="shared" si="79"/>
        <v>374657.74905719806</v>
      </c>
    </row>
    <row r="179" spans="32:78" x14ac:dyDescent="0.4">
      <c r="AF179">
        <v>238.78645833333331</v>
      </c>
      <c r="AG179">
        <v>20.504493464052299</v>
      </c>
      <c r="AH179">
        <f t="shared" si="74"/>
        <v>117.87499999999955</v>
      </c>
      <c r="AI179" s="12">
        <f t="shared" si="75"/>
        <v>0.42538135593220422</v>
      </c>
      <c r="AJ179" s="21">
        <f t="shared" si="76"/>
        <v>39080245.296288371</v>
      </c>
      <c r="BV179" s="20">
        <v>23.633883718213301</v>
      </c>
      <c r="BW179" s="20">
        <v>7.22477510806495</v>
      </c>
      <c r="BX179">
        <f t="shared" si="77"/>
        <v>42.074535612758439</v>
      </c>
      <c r="BY179" s="12">
        <f t="shared" si="78"/>
        <v>0.40941641196526601</v>
      </c>
      <c r="BZ179" s="21">
        <f t="shared" si="79"/>
        <v>569517.18888989592</v>
      </c>
    </row>
    <row r="180" spans="32:78" x14ac:dyDescent="0.4">
      <c r="AF180">
        <v>238.80208333333331</v>
      </c>
      <c r="AG180">
        <v>20.9027777777778</v>
      </c>
      <c r="AH180">
        <f t="shared" si="74"/>
        <v>118.24999999999955</v>
      </c>
      <c r="AI180" s="12">
        <f t="shared" si="75"/>
        <v>0.43364406779661124</v>
      </c>
      <c r="AJ180" s="21">
        <f t="shared" si="76"/>
        <v>42341828.394745976</v>
      </c>
      <c r="BV180" s="20">
        <v>23.637154873632099</v>
      </c>
      <c r="BW180" s="20">
        <v>7.7906071108688</v>
      </c>
      <c r="BX180">
        <f t="shared" si="77"/>
        <v>42.153043342809582</v>
      </c>
      <c r="BY180" s="12">
        <f t="shared" si="78"/>
        <v>0.44148120358825671</v>
      </c>
      <c r="BZ180" s="21">
        <f t="shared" si="79"/>
        <v>779744.90283741022</v>
      </c>
    </row>
    <row r="181" spans="32:78" x14ac:dyDescent="0.4">
      <c r="AF181">
        <v>238.8229166666666</v>
      </c>
      <c r="AG181">
        <v>19.734477124183002</v>
      </c>
      <c r="AH181">
        <f t="shared" si="74"/>
        <v>118.74999999999841</v>
      </c>
      <c r="AI181" s="12">
        <f t="shared" si="75"/>
        <v>0.40940677966101741</v>
      </c>
      <c r="AJ181" s="21">
        <f t="shared" si="76"/>
        <v>33319081.937502563</v>
      </c>
      <c r="BV181" s="20">
        <v>23.640445500214099</v>
      </c>
      <c r="BW181" s="20">
        <v>8.4193309708321902</v>
      </c>
      <c r="BX181">
        <f t="shared" si="77"/>
        <v>42.232018380777589</v>
      </c>
      <c r="BY181" s="12">
        <f t="shared" si="78"/>
        <v>0.47710997583555048</v>
      </c>
      <c r="BZ181" s="21">
        <f t="shared" si="79"/>
        <v>1077445.6578345667</v>
      </c>
    </row>
    <row r="182" spans="32:78" x14ac:dyDescent="0.4">
      <c r="AF182">
        <v>238.8385416666666</v>
      </c>
      <c r="AG182">
        <v>18.956290849673199</v>
      </c>
      <c r="AH182">
        <f t="shared" si="74"/>
        <v>119.12499999999841</v>
      </c>
      <c r="AI182" s="12">
        <f t="shared" si="75"/>
        <v>0.39326271186440726</v>
      </c>
      <c r="AJ182" s="21">
        <f t="shared" si="76"/>
        <v>28176817.635432165</v>
      </c>
      <c r="BV182" s="20">
        <v>23.643716655633</v>
      </c>
      <c r="BW182" s="20">
        <v>8.9851629736360401</v>
      </c>
      <c r="BX182">
        <f t="shared" si="77"/>
        <v>42.310526110831205</v>
      </c>
      <c r="BY182" s="12">
        <f t="shared" si="78"/>
        <v>0.50917476745854118</v>
      </c>
      <c r="BZ182" s="21">
        <f t="shared" si="79"/>
        <v>1412852.8884638182</v>
      </c>
    </row>
    <row r="183" spans="32:78" x14ac:dyDescent="0.4">
      <c r="AF183">
        <v>238.8541666666666</v>
      </c>
      <c r="AG183">
        <v>18.962418300653599</v>
      </c>
      <c r="AH183">
        <f t="shared" si="74"/>
        <v>119.49999999999841</v>
      </c>
      <c r="AI183" s="12">
        <f t="shared" si="75"/>
        <v>0.3933898305084752</v>
      </c>
      <c r="AJ183" s="21">
        <f t="shared" si="76"/>
        <v>28214786.660657983</v>
      </c>
      <c r="BV183" s="20">
        <v>23.6497916585536</v>
      </c>
      <c r="BW183" s="20">
        <v>8.6074224074146102</v>
      </c>
      <c r="BX183">
        <f t="shared" si="77"/>
        <v>42.456326180925601</v>
      </c>
      <c r="BY183" s="12">
        <f t="shared" si="78"/>
        <v>0.48776881572123826</v>
      </c>
      <c r="BZ183" s="21">
        <f t="shared" si="79"/>
        <v>1181345.0536290817</v>
      </c>
    </row>
    <row r="184" spans="32:78" x14ac:dyDescent="0.4">
      <c r="AF184">
        <v>238.9375</v>
      </c>
      <c r="AG184">
        <v>16.25</v>
      </c>
      <c r="AH184">
        <f t="shared" si="74"/>
        <v>121.5</v>
      </c>
      <c r="AI184" s="12">
        <f t="shared" si="75"/>
        <v>0.33711864406779707</v>
      </c>
      <c r="AJ184" s="21">
        <f t="shared" si="76"/>
        <v>14830027.234644163</v>
      </c>
      <c r="BV184" s="20">
        <v>23.655710892168699</v>
      </c>
      <c r="BW184" s="20">
        <v>7.7265469839168102</v>
      </c>
      <c r="BX184">
        <f t="shared" si="77"/>
        <v>42.598387787687983</v>
      </c>
      <c r="BY184" s="12">
        <f t="shared" si="78"/>
        <v>0.43785101898950762</v>
      </c>
      <c r="BZ184" s="21">
        <f t="shared" si="79"/>
        <v>753375.49497554905</v>
      </c>
    </row>
    <row r="185" spans="32:78" x14ac:dyDescent="0.4">
      <c r="AF185">
        <v>238.953125</v>
      </c>
      <c r="AG185">
        <v>16.256127450980401</v>
      </c>
      <c r="AH185">
        <f t="shared" si="74"/>
        <v>121.875</v>
      </c>
      <c r="AI185" s="12">
        <f t="shared" si="75"/>
        <v>0.33724576271186507</v>
      </c>
      <c r="AJ185" s="21">
        <f t="shared" si="76"/>
        <v>14853341.217286153</v>
      </c>
      <c r="BV185" s="20">
        <v>23.6648233965497</v>
      </c>
      <c r="BW185" s="20">
        <v>7.1599361345846697</v>
      </c>
      <c r="BX185">
        <f t="shared" si="77"/>
        <v>42.817087892832006</v>
      </c>
      <c r="BY185" s="12">
        <f t="shared" si="78"/>
        <v>0.40574209138355349</v>
      </c>
      <c r="BZ185" s="21">
        <f t="shared" si="79"/>
        <v>548521.38966107811</v>
      </c>
    </row>
    <row r="186" spans="32:78" x14ac:dyDescent="0.4">
      <c r="AF186">
        <v>238.96875</v>
      </c>
      <c r="AG186">
        <v>17.438725490196099</v>
      </c>
      <c r="AH186">
        <f t="shared" si="74"/>
        <v>122.25</v>
      </c>
      <c r="AI186" s="12">
        <f t="shared" si="75"/>
        <v>0.36177966101695008</v>
      </c>
      <c r="AJ186" s="21">
        <f t="shared" si="76"/>
        <v>19902043.99696527</v>
      </c>
      <c r="BV186" s="20">
        <v>23.664667627244</v>
      </c>
      <c r="BW186" s="20">
        <v>6.6568012773082996</v>
      </c>
      <c r="BX186">
        <f t="shared" si="77"/>
        <v>42.813349429495219</v>
      </c>
      <c r="BY186" s="12">
        <f t="shared" si="78"/>
        <v>0.37723024638912578</v>
      </c>
      <c r="BZ186" s="21">
        <f t="shared" si="79"/>
        <v>404897.79991040868</v>
      </c>
    </row>
    <row r="187" spans="32:78" x14ac:dyDescent="0.4">
      <c r="AF187">
        <v>238.984375</v>
      </c>
      <c r="AG187">
        <v>17.4448529411764</v>
      </c>
      <c r="AH187">
        <f t="shared" si="74"/>
        <v>122.625</v>
      </c>
      <c r="AI187" s="12">
        <f t="shared" si="75"/>
        <v>0.36190677966101598</v>
      </c>
      <c r="AJ187" s="21">
        <f t="shared" si="76"/>
        <v>19931197.661520522</v>
      </c>
      <c r="BV187" s="20">
        <v>23.698625335877502</v>
      </c>
      <c r="BW187" s="20">
        <v>6.3402001635577703</v>
      </c>
      <c r="BX187">
        <f t="shared" si="77"/>
        <v>43.628334436699248</v>
      </c>
      <c r="BY187" s="12">
        <f t="shared" si="78"/>
        <v>0.35928896931445903</v>
      </c>
      <c r="BZ187" s="21">
        <f t="shared" si="79"/>
        <v>330497.22687199473</v>
      </c>
    </row>
    <row r="188" spans="32:78" x14ac:dyDescent="0.4">
      <c r="AF188">
        <v>239.00520833333331</v>
      </c>
      <c r="AG188">
        <v>16.276552287581701</v>
      </c>
      <c r="AH188">
        <f t="shared" si="74"/>
        <v>123.12499999999955</v>
      </c>
      <c r="AI188" s="12">
        <f t="shared" si="75"/>
        <v>0.33766949152542425</v>
      </c>
      <c r="AJ188" s="21">
        <f t="shared" si="76"/>
        <v>14931255.720339296</v>
      </c>
      <c r="BV188" s="20">
        <v>23.717083998598</v>
      </c>
      <c r="BW188" s="20">
        <v>5.9616807508080498</v>
      </c>
      <c r="BX188">
        <f t="shared" si="77"/>
        <v>44.071342341991198</v>
      </c>
      <c r="BY188" s="12">
        <f t="shared" si="78"/>
        <v>0.33783888159419262</v>
      </c>
      <c r="BZ188" s="21">
        <f t="shared" si="79"/>
        <v>255726.12503328206</v>
      </c>
    </row>
    <row r="189" spans="32:78" x14ac:dyDescent="0.4">
      <c r="AF189">
        <v>239.02083333333331</v>
      </c>
      <c r="AG189">
        <v>14.321895424836599</v>
      </c>
      <c r="AH189">
        <f t="shared" si="74"/>
        <v>123.49999999999955</v>
      </c>
      <c r="AI189" s="12">
        <f t="shared" si="75"/>
        <v>0.29711864406779698</v>
      </c>
      <c r="AJ189" s="21">
        <f t="shared" si="76"/>
        <v>8761699.1340863798</v>
      </c>
      <c r="BV189" s="20">
        <v>23.760465750223901</v>
      </c>
      <c r="BW189" s="20">
        <v>6.0847385022781202</v>
      </c>
      <c r="BX189">
        <f t="shared" si="77"/>
        <v>45.112504381012826</v>
      </c>
      <c r="BY189" s="12">
        <f t="shared" si="78"/>
        <v>0.34481236690242717</v>
      </c>
      <c r="BZ189" s="21">
        <f t="shared" si="79"/>
        <v>278449.71449247305</v>
      </c>
    </row>
    <row r="190" spans="32:78" x14ac:dyDescent="0.4">
      <c r="AF190">
        <v>239.0572916666666</v>
      </c>
      <c r="AG190">
        <v>0.610702614379107</v>
      </c>
      <c r="AH190">
        <f t="shared" si="74"/>
        <v>124.37499999999841</v>
      </c>
      <c r="AI190" s="12">
        <f t="shared" si="75"/>
        <v>1.2669491525424204E-2</v>
      </c>
      <c r="AJ190" s="21">
        <f t="shared" si="76"/>
        <v>17.12157344181977</v>
      </c>
      <c r="BV190" s="20">
        <v>23.782156626036802</v>
      </c>
      <c r="BW190" s="20">
        <v>6.1462673780131603</v>
      </c>
      <c r="BX190">
        <f t="shared" si="77"/>
        <v>45.633085400522447</v>
      </c>
      <c r="BY190" s="12">
        <f t="shared" si="78"/>
        <v>0.34829910955654475</v>
      </c>
      <c r="BZ190" s="21">
        <f t="shared" si="79"/>
        <v>290370.94234991749</v>
      </c>
    </row>
    <row r="191" spans="32:78" x14ac:dyDescent="0.4">
      <c r="BV191" s="20">
        <v>23.841056894738799</v>
      </c>
      <c r="BW191" s="20">
        <v>6.3941352856419602</v>
      </c>
      <c r="BX191">
        <f t="shared" si="77"/>
        <v>47.046691849370376</v>
      </c>
      <c r="BY191" s="12">
        <f t="shared" si="78"/>
        <v>0.36234538613468192</v>
      </c>
      <c r="BZ191" s="21">
        <f t="shared" si="79"/>
        <v>342370.52486523392</v>
      </c>
    </row>
    <row r="192" spans="32:78" x14ac:dyDescent="0.4">
      <c r="BV192" s="20">
        <v>23.868920129288501</v>
      </c>
      <c r="BW192" s="20">
        <v>6.3923828809533001</v>
      </c>
      <c r="BX192">
        <f t="shared" si="77"/>
        <v>47.715409478563231</v>
      </c>
      <c r="BY192" s="12">
        <f t="shared" si="78"/>
        <v>0.3622460801730138</v>
      </c>
      <c r="BZ192" s="21">
        <f t="shared" si="79"/>
        <v>341979.72963590192</v>
      </c>
    </row>
    <row r="193" spans="74:78" x14ac:dyDescent="0.4">
      <c r="BV193" s="20">
        <v>23.896958604306999</v>
      </c>
      <c r="BW193" s="20">
        <v>6.9566571907005699</v>
      </c>
      <c r="BX193">
        <f t="shared" si="77"/>
        <v>48.38833287900718</v>
      </c>
      <c r="BY193" s="12">
        <f t="shared" si="78"/>
        <v>0.39422259983007762</v>
      </c>
      <c r="BZ193" s="21">
        <f t="shared" si="79"/>
        <v>486490.79479880934</v>
      </c>
    </row>
    <row r="194" spans="74:78" x14ac:dyDescent="0.4">
      <c r="BV194" s="20">
        <v>23.909342264106801</v>
      </c>
      <c r="BW194" s="20">
        <v>6.9558783441722802</v>
      </c>
      <c r="BX194">
        <f t="shared" si="77"/>
        <v>48.685540714202432</v>
      </c>
      <c r="BY194" s="12">
        <f t="shared" si="78"/>
        <v>0.39417846384711425</v>
      </c>
      <c r="BZ194" s="21">
        <f t="shared" si="79"/>
        <v>486263.89313258487</v>
      </c>
    </row>
    <row r="195" spans="74:78" x14ac:dyDescent="0.4">
      <c r="BV195" s="20">
        <v>23.918591066630299</v>
      </c>
      <c r="BW195" s="20">
        <v>6.8295104949569598</v>
      </c>
      <c r="BX195">
        <f t="shared" si="77"/>
        <v>48.907511974766379</v>
      </c>
      <c r="BY195" s="12">
        <f t="shared" si="78"/>
        <v>0.38701740061128415</v>
      </c>
      <c r="BZ195" s="21">
        <f t="shared" si="79"/>
        <v>450500.5774661997</v>
      </c>
    </row>
    <row r="196" spans="74:78" x14ac:dyDescent="0.4">
      <c r="BV196" s="20">
        <v>23.940398769422401</v>
      </c>
      <c r="BW196" s="20">
        <v>7.2683905136492797</v>
      </c>
      <c r="BX196">
        <f t="shared" si="77"/>
        <v>49.430896841776843</v>
      </c>
      <c r="BY196" s="12">
        <f t="shared" si="78"/>
        <v>0.41188802701122262</v>
      </c>
      <c r="BZ196" s="21">
        <f t="shared" si="79"/>
        <v>583980.26289982058</v>
      </c>
    </row>
    <row r="197" spans="74:78" x14ac:dyDescent="0.4">
      <c r="BV197" s="20">
        <v>23.952743486895901</v>
      </c>
      <c r="BW197" s="20">
        <v>7.14182795280189</v>
      </c>
      <c r="BX197">
        <f t="shared" ref="BX197:BX201" si="80">(BV197-MIN(BV$4:BV$66))*24</f>
        <v>49.727170061140839</v>
      </c>
      <c r="BY197" s="12">
        <f t="shared" ref="BY197:BY201" si="81">BW197/MAX(BW$4:BW$210)</f>
        <v>0.40471592977965187</v>
      </c>
      <c r="BZ197" s="21">
        <f t="shared" ref="BZ197:BZ201" si="82">IF(BW197=0, 1, POWER(BW197/2, 1/0.24) *2700)</f>
        <v>542764.22531142691</v>
      </c>
    </row>
    <row r="198" spans="74:78" x14ac:dyDescent="0.4">
      <c r="BV198" s="20">
        <v>23.962089645235402</v>
      </c>
      <c r="BW198" s="20">
        <v>7.3299193893843198</v>
      </c>
      <c r="BX198">
        <f t="shared" si="80"/>
        <v>49.951477861288851</v>
      </c>
      <c r="BY198" s="12">
        <f t="shared" si="81"/>
        <v>0.41537476966534015</v>
      </c>
      <c r="BZ198" s="21">
        <f t="shared" si="82"/>
        <v>604856.1620106335</v>
      </c>
    </row>
    <row r="199" spans="74:78" x14ac:dyDescent="0.4">
      <c r="BV199" s="20">
        <v>23.9775497488219</v>
      </c>
      <c r="BW199" s="20">
        <v>7.2660539740644001</v>
      </c>
      <c r="BX199">
        <f t="shared" si="80"/>
        <v>50.322520347364815</v>
      </c>
      <c r="BY199" s="12">
        <f t="shared" si="81"/>
        <v>0.41175561906233182</v>
      </c>
      <c r="BZ199" s="21">
        <f t="shared" si="82"/>
        <v>583198.45372577047</v>
      </c>
    </row>
    <row r="200" spans="74:78" x14ac:dyDescent="0.4">
      <c r="BV200" s="20">
        <v>23.986876435998202</v>
      </c>
      <c r="BW200" s="20">
        <v>7.3912535534872799</v>
      </c>
      <c r="BX200">
        <f t="shared" si="80"/>
        <v>50.546360839596048</v>
      </c>
      <c r="BY200" s="12">
        <f t="shared" si="81"/>
        <v>0.41885047832371647</v>
      </c>
      <c r="BZ200" s="21">
        <f t="shared" si="82"/>
        <v>626225.6740756213</v>
      </c>
    </row>
    <row r="201" spans="74:78" x14ac:dyDescent="0.4">
      <c r="BV201" s="20">
        <v>23.996125238521699</v>
      </c>
      <c r="BW201" s="20">
        <v>7.2648857042719701</v>
      </c>
      <c r="BX201">
        <f t="shared" si="80"/>
        <v>50.768332100159995</v>
      </c>
      <c r="BY201" s="12">
        <f t="shared" si="81"/>
        <v>0.41168941508788698</v>
      </c>
      <c r="BZ201" s="21">
        <f t="shared" si="82"/>
        <v>582807.84756582335</v>
      </c>
    </row>
  </sheetData>
  <phoneticPr fontId="2"/>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96348-D1B1-4AE5-B30E-9574EBBB47F1}">
  <dimension ref="A1:S883"/>
  <sheetViews>
    <sheetView zoomScale="70" zoomScaleNormal="70" workbookViewId="0">
      <pane ySplit="1" topLeftCell="A737" activePane="bottomLeft" state="frozen"/>
      <selection pane="bottomLeft" activeCell="I752" sqref="I752"/>
    </sheetView>
  </sheetViews>
  <sheetFormatPr defaultRowHeight="18.75" x14ac:dyDescent="0.4"/>
  <cols>
    <col min="1" max="1" width="16.625" customWidth="1"/>
    <col min="2" max="2" width="5.375" style="24" customWidth="1"/>
    <col min="3" max="3" width="3.625" style="24" customWidth="1"/>
    <col min="4" max="4" width="3.5" style="24" customWidth="1"/>
    <col min="5" max="5" width="3.625" style="24" customWidth="1"/>
    <col min="6" max="6" width="3.375" style="24" customWidth="1"/>
    <col min="7" max="7" width="7.375" customWidth="1"/>
    <col min="8" max="8" width="6.75" style="20" customWidth="1"/>
    <col min="9" max="9" width="8.375" style="20" customWidth="1"/>
    <col min="10" max="10" width="8.375" customWidth="1"/>
    <col min="11" max="11" width="5.75" customWidth="1"/>
    <col min="12" max="12" width="6.25" style="20" customWidth="1"/>
    <col min="13" max="13" width="12.5" style="23" customWidth="1"/>
    <col min="14" max="14" width="12" style="23" customWidth="1"/>
    <col min="15" max="15" width="5.375" customWidth="1"/>
    <col min="16" max="16" width="5" customWidth="1"/>
    <col min="17" max="17" width="34.875" customWidth="1"/>
    <col min="18" max="18" width="17.625" customWidth="1"/>
    <col min="19" max="19" width="14.375" customWidth="1"/>
  </cols>
  <sheetData>
    <row r="1" spans="1:19" s="25" customFormat="1" ht="18" x14ac:dyDescent="0.4">
      <c r="A1" s="25" t="s">
        <v>558</v>
      </c>
      <c r="B1" s="26" t="s">
        <v>540</v>
      </c>
      <c r="C1" s="26" t="s">
        <v>541</v>
      </c>
      <c r="D1" s="26" t="s">
        <v>542</v>
      </c>
      <c r="E1" s="26" t="s">
        <v>543</v>
      </c>
      <c r="F1" s="26" t="s">
        <v>544</v>
      </c>
      <c r="G1" s="26" t="s">
        <v>545</v>
      </c>
      <c r="H1" s="27" t="s">
        <v>557</v>
      </c>
      <c r="I1" s="26" t="s">
        <v>556</v>
      </c>
      <c r="J1" s="25" t="s">
        <v>488</v>
      </c>
      <c r="K1" s="26" t="s">
        <v>547</v>
      </c>
      <c r="L1" s="27" t="s">
        <v>669</v>
      </c>
      <c r="M1" s="28" t="s">
        <v>512</v>
      </c>
      <c r="N1" s="28" t="s">
        <v>549</v>
      </c>
      <c r="O1" s="25" t="s">
        <v>559</v>
      </c>
      <c r="P1" s="25" t="s">
        <v>550</v>
      </c>
      <c r="Q1" s="25" t="s">
        <v>460</v>
      </c>
      <c r="R1" s="25" t="s">
        <v>461</v>
      </c>
      <c r="S1" s="25" t="s">
        <v>463</v>
      </c>
    </row>
    <row r="2" spans="1:19" x14ac:dyDescent="0.4">
      <c r="A2" t="s">
        <v>1469</v>
      </c>
      <c r="B2" s="24">
        <v>1912</v>
      </c>
      <c r="C2" s="24">
        <v>6</v>
      </c>
      <c r="D2" s="24">
        <v>1</v>
      </c>
      <c r="G2" s="20">
        <f>(IF(C2="",DATE(B2,7,1),IF(D2="",DATE(B2,C2,16), IF(E2="",DATE(B2,C2,D2)+TIME(12,0,0), IF(F2="", DATE(B2,C2,D2)+TIME(E2,0,0),DATE(B2,C2,D2)+TIME(E2,F2,0))))) - 25569)*86400</f>
        <v>-1817208000</v>
      </c>
      <c r="J2" t="s">
        <v>656</v>
      </c>
      <c r="K2" s="22" t="str">
        <f t="shared" ref="K2:K149" si="0">IF(H2="",IF(I2="","point","middle"),"span")</f>
        <v>point</v>
      </c>
      <c r="M2" s="23">
        <f t="shared" ref="M2:M6" si="1">(G2--1816772400)/3600</f>
        <v>-121</v>
      </c>
      <c r="N2" s="23">
        <f>IF(M2=0,0, IF(M2&gt;0,LOG10(M2), -LOG10(-1*M2)))</f>
        <v>-2.0827853703164503</v>
      </c>
      <c r="O2" t="s">
        <v>464</v>
      </c>
      <c r="P2">
        <v>1</v>
      </c>
      <c r="Q2" t="s">
        <v>472</v>
      </c>
      <c r="S2" t="s">
        <v>467</v>
      </c>
    </row>
    <row r="3" spans="1:19" x14ac:dyDescent="0.4">
      <c r="A3" t="s">
        <v>1469</v>
      </c>
      <c r="B3" s="24">
        <v>1912</v>
      </c>
      <c r="C3" s="24">
        <v>6</v>
      </c>
      <c r="D3" s="24">
        <v>4</v>
      </c>
      <c r="G3" s="20">
        <f>(IF(C3="",DATE(B3,7,1),IF(D3="",DATE(B3,C3,16), IF(E3="",DATE(B3,C3,D3)+TIME(12,0,0), IF(F3="", DATE(B3,C3,D3)+TIME(E3,0,0),DATE(B3,C3,D3)+TIME(E3,F3,0))))) - 25569)*86400</f>
        <v>-1816948800</v>
      </c>
      <c r="J3" t="s">
        <v>656</v>
      </c>
      <c r="K3" s="22" t="str">
        <f t="shared" si="0"/>
        <v>point</v>
      </c>
      <c r="M3" s="23">
        <f t="shared" si="1"/>
        <v>-49</v>
      </c>
      <c r="N3" s="23">
        <f t="shared" ref="N3:N149" si="2">IF(M3=0,0, IF(M3&gt;0,LOG10(M3), -LOG10(-1*M3)))</f>
        <v>-1.6901960800285136</v>
      </c>
      <c r="O3" t="s">
        <v>464</v>
      </c>
      <c r="P3">
        <v>2</v>
      </c>
      <c r="Q3" t="s">
        <v>468</v>
      </c>
      <c r="S3" t="s">
        <v>467</v>
      </c>
    </row>
    <row r="4" spans="1:19" x14ac:dyDescent="0.4">
      <c r="A4" t="s">
        <v>1469</v>
      </c>
      <c r="B4" s="24">
        <v>1912</v>
      </c>
      <c r="C4" s="24">
        <v>6</v>
      </c>
      <c r="D4" s="24">
        <v>5</v>
      </c>
      <c r="G4" s="20">
        <f>(IF(C4="",DATE(B4,7,1),IF(D4="",DATE(B4,C4,16), IF(E4="",DATE(B4,C4,D4)+TIME(12,0,0), IF(F4="", DATE(B4,C4,D4)+TIME(E4,0,0),DATE(B4,C4,D4)+TIME(E4,F4,0))))) - 25569)*86400</f>
        <v>-1816862400</v>
      </c>
      <c r="J4" t="s">
        <v>656</v>
      </c>
      <c r="K4" s="22" t="str">
        <f t="shared" si="0"/>
        <v>point</v>
      </c>
      <c r="M4" s="23">
        <f t="shared" si="1"/>
        <v>-25</v>
      </c>
      <c r="N4" s="23">
        <f t="shared" si="2"/>
        <v>-1.3979400086720377</v>
      </c>
      <c r="O4" t="s">
        <v>464</v>
      </c>
      <c r="P4">
        <v>2</v>
      </c>
      <c r="Q4" t="s">
        <v>468</v>
      </c>
      <c r="S4" t="s">
        <v>467</v>
      </c>
    </row>
    <row r="5" spans="1:19" x14ac:dyDescent="0.4">
      <c r="A5" t="s">
        <v>1469</v>
      </c>
      <c r="B5" s="24">
        <v>1912</v>
      </c>
      <c r="C5" s="24">
        <v>6</v>
      </c>
      <c r="D5" s="24">
        <v>6</v>
      </c>
      <c r="E5" s="24">
        <v>5</v>
      </c>
      <c r="F5" s="24">
        <v>8</v>
      </c>
      <c r="G5" s="20">
        <f>(IF(C5="",DATE(B5,7,1),IF(D5="",DATE(B5,C5,16), IF(E5="",DATE(B5,C5,D5)+TIME(12,0,0), IF(F5="", DATE(B5,C5,D5)+TIME(E5,0,0),DATE(B5,C5,D5)+TIME(E5,F5,0))))) - 25569)*86400</f>
        <v>-1816800720</v>
      </c>
      <c r="J5" t="s">
        <v>656</v>
      </c>
      <c r="K5" s="22" t="str">
        <f t="shared" si="0"/>
        <v>point</v>
      </c>
      <c r="M5" s="23">
        <f t="shared" si="1"/>
        <v>-7.8666666666666663</v>
      </c>
      <c r="N5" s="23">
        <f t="shared" si="2"/>
        <v>-0.89579074825044414</v>
      </c>
      <c r="O5" t="s">
        <v>464</v>
      </c>
      <c r="P5">
        <v>2</v>
      </c>
      <c r="Q5" t="s">
        <v>473</v>
      </c>
      <c r="S5" t="s">
        <v>457</v>
      </c>
    </row>
    <row r="6" spans="1:19" x14ac:dyDescent="0.4">
      <c r="A6" t="s">
        <v>1469</v>
      </c>
      <c r="B6" s="24">
        <v>1912</v>
      </c>
      <c r="C6" s="24">
        <v>6</v>
      </c>
      <c r="D6" s="24">
        <v>6</v>
      </c>
      <c r="E6" s="24">
        <v>8</v>
      </c>
      <c r="G6" s="20">
        <f t="shared" ref="G6:G175" si="3">(IF(C6="",DATE(B6,7,1),IF(D6="",DATE(B6,C6,16), IF(E6="",DATE(B6,C6,D6)+TIME(12,0,0), IF(F6="", DATE(B6,C6,D6)+TIME(E6,0,0),DATE(B6,C6,D6)+TIME(E6,F6,0))))) - 25569)*86400</f>
        <v>-1816790400</v>
      </c>
      <c r="H6" s="20">
        <v>5</v>
      </c>
      <c r="J6" t="s">
        <v>656</v>
      </c>
      <c r="K6" s="22" t="str">
        <f>IF(H6="",IF(I6="","point","middle"),"span")</f>
        <v>span</v>
      </c>
      <c r="M6" s="23">
        <f t="shared" si="1"/>
        <v>-5</v>
      </c>
      <c r="N6" s="23">
        <f t="shared" si="2"/>
        <v>-0.69897000433601886</v>
      </c>
      <c r="O6" t="s">
        <v>462</v>
      </c>
      <c r="P6">
        <v>4</v>
      </c>
      <c r="Q6" t="s">
        <v>546</v>
      </c>
      <c r="R6" t="s">
        <v>482</v>
      </c>
      <c r="S6" t="s">
        <v>467</v>
      </c>
    </row>
    <row r="7" spans="1:19" x14ac:dyDescent="0.4">
      <c r="A7" t="s">
        <v>1469</v>
      </c>
      <c r="B7" s="24">
        <v>1912</v>
      </c>
      <c r="C7" s="24">
        <v>6</v>
      </c>
      <c r="D7" s="24">
        <v>6</v>
      </c>
      <c r="E7" s="24">
        <v>13</v>
      </c>
      <c r="F7" s="24">
        <v>0</v>
      </c>
      <c r="G7" s="20">
        <f t="shared" si="3"/>
        <v>-1816772400</v>
      </c>
      <c r="J7" t="s">
        <v>656</v>
      </c>
      <c r="K7" s="22" t="str">
        <f t="shared" si="0"/>
        <v>point</v>
      </c>
      <c r="L7" s="20" t="s">
        <v>670</v>
      </c>
      <c r="M7" s="23">
        <f>(G7--1816772400)/3600</f>
        <v>0</v>
      </c>
      <c r="N7" s="23">
        <f t="shared" si="2"/>
        <v>0</v>
      </c>
      <c r="O7" t="s">
        <v>462</v>
      </c>
      <c r="P7">
        <v>6</v>
      </c>
      <c r="Q7" t="s">
        <v>470</v>
      </c>
      <c r="R7" t="s">
        <v>483</v>
      </c>
      <c r="S7" t="s">
        <v>467</v>
      </c>
    </row>
    <row r="8" spans="1:19" x14ac:dyDescent="0.4">
      <c r="A8" t="s">
        <v>1469</v>
      </c>
      <c r="B8" s="24">
        <v>1912</v>
      </c>
      <c r="C8" s="24">
        <v>6</v>
      </c>
      <c r="D8" s="24">
        <v>6</v>
      </c>
      <c r="E8" s="24">
        <v>15</v>
      </c>
      <c r="G8" s="20">
        <f t="shared" si="3"/>
        <v>-1816765200</v>
      </c>
      <c r="H8" s="20">
        <v>18</v>
      </c>
      <c r="J8" t="s">
        <v>656</v>
      </c>
      <c r="K8" s="22" t="str">
        <f t="shared" si="0"/>
        <v>span</v>
      </c>
      <c r="M8" s="23">
        <f t="shared" ref="M8:M20" si="4">(G8--1816772400)/3600</f>
        <v>2</v>
      </c>
      <c r="N8" s="23">
        <f t="shared" si="2"/>
        <v>0.3010299956639812</v>
      </c>
      <c r="O8" t="s">
        <v>462</v>
      </c>
      <c r="P8">
        <v>4</v>
      </c>
      <c r="Q8" t="s">
        <v>471</v>
      </c>
      <c r="S8" t="s">
        <v>467</v>
      </c>
    </row>
    <row r="9" spans="1:19" x14ac:dyDescent="0.4">
      <c r="A9" t="s">
        <v>1469</v>
      </c>
      <c r="B9" s="24">
        <v>1912</v>
      </c>
      <c r="C9" s="24">
        <v>6</v>
      </c>
      <c r="D9" s="24">
        <v>6</v>
      </c>
      <c r="E9" s="24">
        <v>18</v>
      </c>
      <c r="G9" s="20">
        <f t="shared" si="3"/>
        <v>-1816754400</v>
      </c>
      <c r="H9" s="20">
        <v>6</v>
      </c>
      <c r="J9" t="s">
        <v>656</v>
      </c>
      <c r="K9" s="22" t="str">
        <f t="shared" si="0"/>
        <v>span</v>
      </c>
      <c r="M9" s="23">
        <f t="shared" si="4"/>
        <v>5</v>
      </c>
      <c r="N9" s="23">
        <f t="shared" si="2"/>
        <v>0.69897000433601886</v>
      </c>
      <c r="O9" t="s">
        <v>464</v>
      </c>
      <c r="P9">
        <v>2</v>
      </c>
      <c r="Q9" t="s">
        <v>469</v>
      </c>
      <c r="S9" t="s">
        <v>459</v>
      </c>
    </row>
    <row r="10" spans="1:19" x14ac:dyDescent="0.4">
      <c r="A10" t="s">
        <v>1469</v>
      </c>
      <c r="B10" s="24">
        <v>1912</v>
      </c>
      <c r="C10" s="24">
        <v>6</v>
      </c>
      <c r="D10" s="24">
        <v>6</v>
      </c>
      <c r="E10" s="24">
        <v>23</v>
      </c>
      <c r="F10" s="24">
        <v>56</v>
      </c>
      <c r="G10" s="20">
        <f t="shared" si="3"/>
        <v>-1816733040.0000002</v>
      </c>
      <c r="J10" t="s">
        <v>656</v>
      </c>
      <c r="K10" s="22" t="str">
        <f t="shared" si="0"/>
        <v>point</v>
      </c>
      <c r="L10" s="20" t="s">
        <v>671</v>
      </c>
      <c r="M10" s="23">
        <f t="shared" si="4"/>
        <v>10.933333333267106</v>
      </c>
      <c r="N10" s="23">
        <f t="shared" ref="N10" si="5">IF(M10=0,0, IF(M10&gt;0,LOG10(M10), -LOG10(-1*M10)))</f>
        <v>1.038752588989386</v>
      </c>
      <c r="O10" t="s">
        <v>462</v>
      </c>
      <c r="P10">
        <v>7</v>
      </c>
      <c r="R10" t="s">
        <v>555</v>
      </c>
      <c r="S10" t="s">
        <v>456</v>
      </c>
    </row>
    <row r="11" spans="1:19" x14ac:dyDescent="0.4">
      <c r="A11" t="s">
        <v>1469</v>
      </c>
      <c r="B11" s="24">
        <v>1912</v>
      </c>
      <c r="C11" s="24">
        <v>6</v>
      </c>
      <c r="D11" s="24">
        <v>6</v>
      </c>
      <c r="E11" s="24">
        <v>23</v>
      </c>
      <c r="F11" s="24">
        <v>56</v>
      </c>
      <c r="G11" s="20">
        <f t="shared" si="3"/>
        <v>-1816733040.0000002</v>
      </c>
      <c r="J11" t="s">
        <v>656</v>
      </c>
      <c r="K11" s="22" t="str">
        <f t="shared" si="0"/>
        <v>point</v>
      </c>
      <c r="M11" s="23">
        <f t="shared" si="4"/>
        <v>10.933333333267106</v>
      </c>
      <c r="N11" s="23">
        <f t="shared" si="2"/>
        <v>1.038752588989386</v>
      </c>
      <c r="O11" t="s">
        <v>464</v>
      </c>
      <c r="P11">
        <v>2</v>
      </c>
      <c r="Q11" t="s">
        <v>476</v>
      </c>
      <c r="R11" t="s">
        <v>475</v>
      </c>
      <c r="S11" t="s">
        <v>456</v>
      </c>
    </row>
    <row r="12" spans="1:19" x14ac:dyDescent="0.4">
      <c r="A12" t="s">
        <v>1469</v>
      </c>
      <c r="B12" s="24">
        <v>1912</v>
      </c>
      <c r="C12" s="24">
        <v>6</v>
      </c>
      <c r="D12" s="24">
        <v>7</v>
      </c>
      <c r="E12" s="24">
        <v>5</v>
      </c>
      <c r="G12" s="20">
        <f t="shared" si="3"/>
        <v>-1816714800</v>
      </c>
      <c r="J12" t="s">
        <v>656</v>
      </c>
      <c r="K12" s="22" t="str">
        <f t="shared" si="0"/>
        <v>point</v>
      </c>
      <c r="M12" s="23">
        <f t="shared" si="4"/>
        <v>16</v>
      </c>
      <c r="N12" s="23">
        <f t="shared" si="2"/>
        <v>1.2041199826559248</v>
      </c>
      <c r="O12" t="s">
        <v>462</v>
      </c>
      <c r="P12">
        <v>0</v>
      </c>
      <c r="Q12" t="s">
        <v>481</v>
      </c>
      <c r="R12" t="s">
        <v>453</v>
      </c>
      <c r="S12" t="s">
        <v>458</v>
      </c>
    </row>
    <row r="13" spans="1:19" x14ac:dyDescent="0.4">
      <c r="A13" t="s">
        <v>1469</v>
      </c>
      <c r="B13" s="24">
        <v>1912</v>
      </c>
      <c r="C13" s="24">
        <v>6</v>
      </c>
      <c r="D13" s="24">
        <v>7</v>
      </c>
      <c r="E13" s="24">
        <v>8</v>
      </c>
      <c r="G13" s="20">
        <f t="shared" si="3"/>
        <v>-1816704000</v>
      </c>
      <c r="J13" t="s">
        <v>656</v>
      </c>
      <c r="K13" s="22" t="str">
        <f t="shared" si="0"/>
        <v>point</v>
      </c>
      <c r="M13" s="23">
        <f t="shared" si="4"/>
        <v>19</v>
      </c>
      <c r="N13" s="23">
        <f t="shared" si="2"/>
        <v>1.2787536009528289</v>
      </c>
      <c r="O13" t="s">
        <v>462</v>
      </c>
      <c r="P13">
        <v>6</v>
      </c>
      <c r="R13" t="s">
        <v>452</v>
      </c>
      <c r="S13" t="s">
        <v>458</v>
      </c>
    </row>
    <row r="14" spans="1:19" x14ac:dyDescent="0.4">
      <c r="A14" t="s">
        <v>1469</v>
      </c>
      <c r="B14" s="24">
        <v>1912</v>
      </c>
      <c r="C14" s="24">
        <v>6</v>
      </c>
      <c r="D14" s="24">
        <v>7</v>
      </c>
      <c r="E14" s="24">
        <v>12</v>
      </c>
      <c r="G14" s="20">
        <f t="shared" si="3"/>
        <v>-1816689600</v>
      </c>
      <c r="H14" s="20">
        <v>10</v>
      </c>
      <c r="J14" t="s">
        <v>656</v>
      </c>
      <c r="K14" s="22" t="str">
        <f t="shared" si="0"/>
        <v>span</v>
      </c>
      <c r="M14" s="23">
        <f t="shared" si="4"/>
        <v>23</v>
      </c>
      <c r="N14" s="23">
        <f t="shared" si="2"/>
        <v>1.3617278360175928</v>
      </c>
      <c r="O14" t="s">
        <v>464</v>
      </c>
      <c r="P14">
        <v>2</v>
      </c>
      <c r="Q14" t="s">
        <v>477</v>
      </c>
      <c r="S14" t="s">
        <v>459</v>
      </c>
    </row>
    <row r="15" spans="1:19" x14ac:dyDescent="0.4">
      <c r="A15" t="s">
        <v>1469</v>
      </c>
      <c r="B15" s="24">
        <v>1912</v>
      </c>
      <c r="C15" s="24">
        <v>6</v>
      </c>
      <c r="D15" s="24">
        <v>7</v>
      </c>
      <c r="E15" s="24">
        <v>21</v>
      </c>
      <c r="F15" s="24">
        <v>36</v>
      </c>
      <c r="G15" s="20">
        <f t="shared" si="3"/>
        <v>-1816655039.9999998</v>
      </c>
      <c r="J15" t="s">
        <v>656</v>
      </c>
      <c r="K15" s="22" t="str">
        <f t="shared" si="0"/>
        <v>point</v>
      </c>
      <c r="M15" s="23">
        <f t="shared" si="4"/>
        <v>32.600000000066224</v>
      </c>
      <c r="N15" s="23">
        <f t="shared" si="2"/>
        <v>1.5132176000688213</v>
      </c>
      <c r="O15" t="s">
        <v>464</v>
      </c>
      <c r="P15">
        <v>2</v>
      </c>
      <c r="Q15" t="s">
        <v>465</v>
      </c>
      <c r="S15" t="s">
        <v>457</v>
      </c>
    </row>
    <row r="16" spans="1:19" x14ac:dyDescent="0.4">
      <c r="A16" t="s">
        <v>1469</v>
      </c>
      <c r="B16" s="24">
        <v>1912</v>
      </c>
      <c r="C16" s="24">
        <v>6</v>
      </c>
      <c r="D16" s="24">
        <v>8</v>
      </c>
      <c r="E16" s="24">
        <v>14</v>
      </c>
      <c r="F16" s="24">
        <v>30</v>
      </c>
      <c r="G16" s="20">
        <f t="shared" si="3"/>
        <v>-1816594200</v>
      </c>
      <c r="J16" t="s">
        <v>656</v>
      </c>
      <c r="K16" s="22" t="str">
        <f t="shared" si="0"/>
        <v>point</v>
      </c>
      <c r="M16" s="23">
        <f t="shared" si="4"/>
        <v>49.5</v>
      </c>
      <c r="N16" s="23">
        <f t="shared" si="2"/>
        <v>1.6946051989335686</v>
      </c>
      <c r="O16" t="s">
        <v>462</v>
      </c>
      <c r="P16">
        <v>0</v>
      </c>
      <c r="Q16" t="s">
        <v>480</v>
      </c>
      <c r="R16" t="s">
        <v>454</v>
      </c>
      <c r="S16" t="s">
        <v>456</v>
      </c>
    </row>
    <row r="17" spans="1:19" x14ac:dyDescent="0.4">
      <c r="A17" t="s">
        <v>1469</v>
      </c>
      <c r="B17" s="24">
        <v>1912</v>
      </c>
      <c r="C17" s="24">
        <v>6</v>
      </c>
      <c r="D17" s="24">
        <v>8</v>
      </c>
      <c r="E17" s="24">
        <v>16</v>
      </c>
      <c r="G17" s="20">
        <f t="shared" si="3"/>
        <v>-1816588800</v>
      </c>
      <c r="J17" t="s">
        <v>656</v>
      </c>
      <c r="K17" s="22" t="str">
        <f t="shared" si="0"/>
        <v>point</v>
      </c>
      <c r="M17" s="23">
        <f t="shared" si="4"/>
        <v>51</v>
      </c>
      <c r="N17" s="23">
        <f t="shared" si="2"/>
        <v>1.7075701760979363</v>
      </c>
      <c r="O17" t="s">
        <v>462</v>
      </c>
      <c r="P17">
        <v>5</v>
      </c>
      <c r="R17" t="s">
        <v>455</v>
      </c>
      <c r="S17" t="s">
        <v>458</v>
      </c>
    </row>
    <row r="18" spans="1:19" x14ac:dyDescent="0.4">
      <c r="A18" t="s">
        <v>1469</v>
      </c>
      <c r="B18" s="24">
        <v>1912</v>
      </c>
      <c r="C18" s="24">
        <v>6</v>
      </c>
      <c r="D18" s="24">
        <v>9</v>
      </c>
      <c r="E18" s="24">
        <v>7</v>
      </c>
      <c r="G18" s="20">
        <f t="shared" si="3"/>
        <v>-1816534800</v>
      </c>
      <c r="J18" t="s">
        <v>656</v>
      </c>
      <c r="K18" s="22" t="str">
        <f t="shared" si="0"/>
        <v>point</v>
      </c>
      <c r="M18" s="23">
        <f t="shared" si="4"/>
        <v>66</v>
      </c>
      <c r="N18" s="23">
        <f t="shared" si="2"/>
        <v>1.8195439355418688</v>
      </c>
      <c r="O18" t="s">
        <v>462</v>
      </c>
      <c r="P18">
        <v>5</v>
      </c>
      <c r="Q18" t="s">
        <v>479</v>
      </c>
      <c r="S18" t="s">
        <v>474</v>
      </c>
    </row>
    <row r="19" spans="1:19" x14ac:dyDescent="0.4">
      <c r="A19" t="s">
        <v>1469</v>
      </c>
      <c r="B19" s="24">
        <v>1912</v>
      </c>
      <c r="C19" s="24">
        <v>6</v>
      </c>
      <c r="D19" s="24">
        <v>10</v>
      </c>
      <c r="E19" s="24">
        <v>6</v>
      </c>
      <c r="F19" s="24">
        <v>6</v>
      </c>
      <c r="G19" s="20">
        <f t="shared" si="3"/>
        <v>-1816451640</v>
      </c>
      <c r="J19" t="s">
        <v>656</v>
      </c>
      <c r="K19" s="22" t="str">
        <f t="shared" si="0"/>
        <v>point</v>
      </c>
      <c r="M19" s="23">
        <f t="shared" si="4"/>
        <v>89.1</v>
      </c>
      <c r="N19" s="23">
        <f t="shared" si="2"/>
        <v>1.9498777040368747</v>
      </c>
      <c r="O19" t="s">
        <v>464</v>
      </c>
      <c r="P19">
        <v>2</v>
      </c>
      <c r="Q19" t="s">
        <v>466</v>
      </c>
      <c r="S19" t="s">
        <v>457</v>
      </c>
    </row>
    <row r="20" spans="1:19" x14ac:dyDescent="0.4">
      <c r="A20" t="s">
        <v>1469</v>
      </c>
      <c r="B20" s="24">
        <v>1912</v>
      </c>
      <c r="C20" s="24">
        <v>6</v>
      </c>
      <c r="D20" s="24">
        <v>17</v>
      </c>
      <c r="E20" s="24">
        <v>11</v>
      </c>
      <c r="F20" s="24">
        <v>28</v>
      </c>
      <c r="G20" s="20">
        <f t="shared" si="3"/>
        <v>-1815827520</v>
      </c>
      <c r="J20" t="s">
        <v>656</v>
      </c>
      <c r="K20" s="22" t="str">
        <f t="shared" si="0"/>
        <v>point</v>
      </c>
      <c r="M20" s="23">
        <f t="shared" si="4"/>
        <v>262.46666666666664</v>
      </c>
      <c r="N20" s="23">
        <f t="shared" si="2"/>
        <v>2.4190741557345481</v>
      </c>
      <c r="O20" t="s">
        <v>464</v>
      </c>
      <c r="P20">
        <v>2</v>
      </c>
      <c r="Q20" t="s">
        <v>478</v>
      </c>
      <c r="R20" s="24"/>
      <c r="S20" t="s">
        <v>457</v>
      </c>
    </row>
    <row r="21" spans="1:19" x14ac:dyDescent="0.4">
      <c r="A21" t="s">
        <v>1469</v>
      </c>
      <c r="B21" s="24">
        <v>1953</v>
      </c>
      <c r="G21" s="20">
        <f t="shared" si="3"/>
        <v>-520819200</v>
      </c>
      <c r="H21" s="20">
        <f>21*365*24</f>
        <v>183960</v>
      </c>
      <c r="J21" t="s">
        <v>656</v>
      </c>
      <c r="K21" s="22" t="str">
        <f t="shared" ref="K21" si="6">IF(H21="",IF(I21="","point","middle"),"span")</f>
        <v>span</v>
      </c>
      <c r="M21" s="23">
        <f>(G21--1816772400)/3600</f>
        <v>359987</v>
      </c>
      <c r="N21" s="23">
        <f t="shared" ref="N21" si="7">IF(M21=0,0, IF(M21&gt;0,LOG10(M21), -LOG10(-1*M21)))</f>
        <v>5.5562868176278268</v>
      </c>
      <c r="O21" t="s">
        <v>462</v>
      </c>
      <c r="P21">
        <v>4</v>
      </c>
      <c r="Q21" t="s">
        <v>951</v>
      </c>
      <c r="R21" s="24"/>
    </row>
    <row r="22" spans="1:19" x14ac:dyDescent="0.4">
      <c r="A22" t="s">
        <v>1470</v>
      </c>
      <c r="B22" s="24">
        <v>1893</v>
      </c>
      <c r="G22" s="20">
        <f t="shared" si="3"/>
        <v>57544041600</v>
      </c>
      <c r="J22" t="s">
        <v>656</v>
      </c>
      <c r="K22" s="22" t="str">
        <f t="shared" ref="K22:K28" si="8">IF(H22="",IF(I22="","point","middle"),"span")</f>
        <v>point</v>
      </c>
      <c r="M22" s="23">
        <f t="shared" ref="M22:M45" si="9">(G22-1307198700)/3600</f>
        <v>15621345.25</v>
      </c>
      <c r="N22" s="23">
        <f t="shared" si="2"/>
        <v>7.1937184309174045</v>
      </c>
      <c r="O22" t="s">
        <v>462</v>
      </c>
      <c r="P22">
        <v>4</v>
      </c>
      <c r="Q22" t="s">
        <v>1055</v>
      </c>
      <c r="R22" s="24"/>
      <c r="S22" t="s">
        <v>867</v>
      </c>
    </row>
    <row r="23" spans="1:19" x14ac:dyDescent="0.4">
      <c r="A23" t="s">
        <v>1470</v>
      </c>
      <c r="B23" s="24">
        <v>1905</v>
      </c>
      <c r="G23" s="20">
        <f t="shared" si="3"/>
        <v>-2035584000</v>
      </c>
      <c r="J23" t="s">
        <v>656</v>
      </c>
      <c r="K23" s="22" t="str">
        <f t="shared" si="8"/>
        <v>point</v>
      </c>
      <c r="M23" s="23">
        <f t="shared" si="9"/>
        <v>-928550.75</v>
      </c>
      <c r="N23" s="23">
        <f t="shared" si="2"/>
        <v>-5.9678056451168704</v>
      </c>
      <c r="O23" t="s">
        <v>462</v>
      </c>
      <c r="P23">
        <v>4</v>
      </c>
      <c r="Q23" t="s">
        <v>1055</v>
      </c>
      <c r="R23" s="24"/>
      <c r="S23" t="s">
        <v>867</v>
      </c>
    </row>
    <row r="24" spans="1:19" x14ac:dyDescent="0.4">
      <c r="A24" t="s">
        <v>1470</v>
      </c>
      <c r="B24" s="24">
        <v>1914</v>
      </c>
      <c r="C24" s="24">
        <v>2</v>
      </c>
      <c r="D24" s="24">
        <v>8</v>
      </c>
      <c r="G24" s="20">
        <f t="shared" si="3"/>
        <v>-1763899200</v>
      </c>
      <c r="J24" t="s">
        <v>656</v>
      </c>
      <c r="K24" s="22" t="str">
        <f t="shared" si="8"/>
        <v>point</v>
      </c>
      <c r="M24" s="23">
        <f t="shared" si="9"/>
        <v>-853082.75</v>
      </c>
      <c r="N24" s="23">
        <f t="shared" si="2"/>
        <v>-5.9309911602710566</v>
      </c>
      <c r="O24" t="s">
        <v>462</v>
      </c>
      <c r="P24">
        <v>4</v>
      </c>
      <c r="R24" s="24"/>
      <c r="S24" t="s">
        <v>867</v>
      </c>
    </row>
    <row r="25" spans="1:19" x14ac:dyDescent="0.4">
      <c r="A25" t="s">
        <v>1470</v>
      </c>
      <c r="B25" s="24">
        <v>1919</v>
      </c>
      <c r="G25" s="20">
        <f t="shared" si="3"/>
        <v>-1593820800</v>
      </c>
      <c r="J25" t="s">
        <v>656</v>
      </c>
      <c r="K25" s="22" t="str">
        <f t="shared" si="8"/>
        <v>point</v>
      </c>
      <c r="M25" s="23">
        <f t="shared" si="9"/>
        <v>-805838.75</v>
      </c>
      <c r="N25" s="23">
        <f t="shared" si="2"/>
        <v>-5.9062481472749271</v>
      </c>
      <c r="O25" t="s">
        <v>462</v>
      </c>
      <c r="P25">
        <v>4</v>
      </c>
      <c r="R25" s="24"/>
      <c r="S25" t="s">
        <v>867</v>
      </c>
    </row>
    <row r="26" spans="1:19" x14ac:dyDescent="0.4">
      <c r="A26" t="s">
        <v>1470</v>
      </c>
      <c r="B26" s="24">
        <v>1921</v>
      </c>
      <c r="C26" s="24">
        <v>12</v>
      </c>
      <c r="D26" s="24">
        <v>13</v>
      </c>
      <c r="G26" s="20">
        <f t="shared" si="3"/>
        <v>-1516363200</v>
      </c>
      <c r="J26" t="s">
        <v>656</v>
      </c>
      <c r="K26" s="22" t="str">
        <f t="shared" si="8"/>
        <v>point</v>
      </c>
      <c r="M26" s="23">
        <f t="shared" si="9"/>
        <v>-784322.75</v>
      </c>
      <c r="N26" s="23">
        <f t="shared" si="2"/>
        <v>-5.8944948123021597</v>
      </c>
      <c r="O26" t="s">
        <v>462</v>
      </c>
      <c r="P26">
        <v>5</v>
      </c>
      <c r="R26" s="24"/>
      <c r="S26" t="s">
        <v>867</v>
      </c>
    </row>
    <row r="27" spans="1:19" x14ac:dyDescent="0.4">
      <c r="A27" t="s">
        <v>1470</v>
      </c>
      <c r="B27" s="24">
        <v>1929</v>
      </c>
      <c r="C27" s="24">
        <v>1</v>
      </c>
      <c r="D27" s="24">
        <v>7</v>
      </c>
      <c r="G27" s="20">
        <f t="shared" si="3"/>
        <v>-1293278400</v>
      </c>
      <c r="J27" t="s">
        <v>656</v>
      </c>
      <c r="K27" s="22" t="str">
        <f t="shared" si="8"/>
        <v>point</v>
      </c>
      <c r="M27" s="23">
        <f t="shared" si="9"/>
        <v>-722354.75</v>
      </c>
      <c r="N27" s="23">
        <f t="shared" si="2"/>
        <v>-5.858750532930018</v>
      </c>
      <c r="O27" t="s">
        <v>462</v>
      </c>
      <c r="P27">
        <v>4</v>
      </c>
      <c r="R27" s="24"/>
      <c r="S27" t="s">
        <v>867</v>
      </c>
    </row>
    <row r="28" spans="1:19" x14ac:dyDescent="0.4">
      <c r="A28" t="s">
        <v>1470</v>
      </c>
      <c r="B28" s="24">
        <v>1934</v>
      </c>
      <c r="C28" s="24">
        <v>5</v>
      </c>
      <c r="D28" s="24">
        <v>6</v>
      </c>
      <c r="G28" s="20">
        <f t="shared" si="3"/>
        <v>-1125230400</v>
      </c>
      <c r="J28" t="s">
        <v>656</v>
      </c>
      <c r="K28" s="22" t="str">
        <f t="shared" si="8"/>
        <v>point</v>
      </c>
      <c r="M28" s="23">
        <f t="shared" si="9"/>
        <v>-675674.75</v>
      </c>
      <c r="N28" s="23">
        <f t="shared" si="2"/>
        <v>-5.8297376896211945</v>
      </c>
      <c r="O28" t="s">
        <v>462</v>
      </c>
      <c r="P28">
        <v>4</v>
      </c>
      <c r="R28" s="24"/>
      <c r="S28" t="s">
        <v>867</v>
      </c>
    </row>
    <row r="29" spans="1:19" x14ac:dyDescent="0.4">
      <c r="A29" t="s">
        <v>1470</v>
      </c>
      <c r="B29" s="24">
        <v>1960</v>
      </c>
      <c r="C29" s="24">
        <v>5</v>
      </c>
      <c r="D29" s="24">
        <v>21</v>
      </c>
      <c r="G29" s="20">
        <f t="shared" si="3"/>
        <v>-303393600</v>
      </c>
      <c r="H29" s="20">
        <v>24</v>
      </c>
      <c r="J29" s="22" t="s">
        <v>489</v>
      </c>
      <c r="K29" s="22" t="str">
        <f t="shared" si="0"/>
        <v>span</v>
      </c>
      <c r="M29" s="23">
        <f t="shared" si="9"/>
        <v>-447386.75</v>
      </c>
      <c r="N29" s="23">
        <f t="shared" si="2"/>
        <v>-5.6506831176973638</v>
      </c>
      <c r="O29" t="s">
        <v>464</v>
      </c>
      <c r="P29">
        <v>-1</v>
      </c>
      <c r="Q29" t="s">
        <v>527</v>
      </c>
      <c r="S29" t="s">
        <v>528</v>
      </c>
    </row>
    <row r="30" spans="1:19" x14ac:dyDescent="0.4">
      <c r="A30" t="s">
        <v>1470</v>
      </c>
      <c r="B30" s="24">
        <v>1960</v>
      </c>
      <c r="C30" s="24">
        <v>5</v>
      </c>
      <c r="D30" s="24">
        <v>22</v>
      </c>
      <c r="E30" s="24">
        <v>19</v>
      </c>
      <c r="F30" s="24">
        <v>11</v>
      </c>
      <c r="G30" s="20">
        <f t="shared" si="3"/>
        <v>-303281339.99999994</v>
      </c>
      <c r="J30" s="22" t="s">
        <v>489</v>
      </c>
      <c r="K30" s="22" t="str">
        <f t="shared" si="0"/>
        <v>point</v>
      </c>
      <c r="M30" s="23">
        <f t="shared" si="9"/>
        <v>-447355.56666666665</v>
      </c>
      <c r="N30" s="23">
        <f t="shared" si="2"/>
        <v>-5.6506528458540695</v>
      </c>
      <c r="O30" t="s">
        <v>464</v>
      </c>
      <c r="P30">
        <v>-1</v>
      </c>
      <c r="Q30" t="s">
        <v>526</v>
      </c>
      <c r="S30" t="s">
        <v>528</v>
      </c>
    </row>
    <row r="31" spans="1:19" x14ac:dyDescent="0.4">
      <c r="A31" t="s">
        <v>1470</v>
      </c>
      <c r="B31" s="24">
        <v>1960</v>
      </c>
      <c r="C31" s="24">
        <v>5</v>
      </c>
      <c r="D31" s="24">
        <v>24</v>
      </c>
      <c r="E31" s="24">
        <v>9</v>
      </c>
      <c r="G31" s="20">
        <f t="shared" si="3"/>
        <v>-303145200</v>
      </c>
      <c r="J31" s="22" t="s">
        <v>489</v>
      </c>
      <c r="K31" s="22" t="str">
        <f t="shared" si="0"/>
        <v>point</v>
      </c>
      <c r="M31" s="23">
        <f t="shared" si="9"/>
        <v>-447317.75</v>
      </c>
      <c r="N31" s="23">
        <f t="shared" si="2"/>
        <v>-5.6506161317387358</v>
      </c>
      <c r="O31" t="s">
        <v>462</v>
      </c>
      <c r="P31">
        <v>5</v>
      </c>
      <c r="Q31" t="s">
        <v>525</v>
      </c>
      <c r="S31" t="s">
        <v>528</v>
      </c>
    </row>
    <row r="32" spans="1:19" x14ac:dyDescent="0.4">
      <c r="A32" t="s">
        <v>1470</v>
      </c>
      <c r="B32" s="24">
        <v>1960</v>
      </c>
      <c r="C32" s="24">
        <v>5</v>
      </c>
      <c r="D32" s="24">
        <v>24</v>
      </c>
      <c r="G32" s="20">
        <f t="shared" si="3"/>
        <v>-303134400</v>
      </c>
      <c r="H32" s="20">
        <f>37*24</f>
        <v>888</v>
      </c>
      <c r="J32" s="22" t="s">
        <v>368</v>
      </c>
      <c r="K32" s="22" t="str">
        <f t="shared" ref="K32" si="10">IF(H32="",IF(I32="","point","middle"),"span")</f>
        <v>span</v>
      </c>
      <c r="M32" s="23">
        <f t="shared" si="9"/>
        <v>-447314.75</v>
      </c>
      <c r="N32" s="23">
        <f t="shared" si="2"/>
        <v>-5.6506132190713645</v>
      </c>
      <c r="O32" t="s">
        <v>462</v>
      </c>
      <c r="P32">
        <v>3</v>
      </c>
      <c r="Q32" t="s">
        <v>1054</v>
      </c>
      <c r="S32" t="s">
        <v>528</v>
      </c>
    </row>
    <row r="33" spans="1:19" x14ac:dyDescent="0.4">
      <c r="A33" t="s">
        <v>1470</v>
      </c>
      <c r="B33" s="24">
        <v>1990</v>
      </c>
      <c r="G33" s="20">
        <f t="shared" si="3"/>
        <v>646790400</v>
      </c>
      <c r="I33" s="20">
        <f>6*30*24</f>
        <v>4320</v>
      </c>
      <c r="J33" s="9" t="s">
        <v>489</v>
      </c>
      <c r="K33" s="22" t="str">
        <f t="shared" si="0"/>
        <v>middle</v>
      </c>
      <c r="M33" s="23">
        <f t="shared" si="9"/>
        <v>-183446.75</v>
      </c>
      <c r="N33" s="23">
        <f t="shared" si="2"/>
        <v>-5.2635100220632447</v>
      </c>
      <c r="O33" t="s">
        <v>462</v>
      </c>
      <c r="P33">
        <v>4</v>
      </c>
      <c r="Q33" t="s">
        <v>485</v>
      </c>
      <c r="S33" t="s">
        <v>484</v>
      </c>
    </row>
    <row r="34" spans="1:19" x14ac:dyDescent="0.4">
      <c r="A34" t="s">
        <v>1470</v>
      </c>
      <c r="B34" s="24">
        <v>1996</v>
      </c>
      <c r="C34" s="24">
        <v>2</v>
      </c>
      <c r="D34" s="24">
        <v>24</v>
      </c>
      <c r="G34" s="20">
        <f t="shared" si="3"/>
        <v>825163200</v>
      </c>
      <c r="I34" s="20">
        <f>1086*24</f>
        <v>26064</v>
      </c>
      <c r="J34" s="9" t="s">
        <v>489</v>
      </c>
      <c r="K34" s="22" t="str">
        <f>IF(I34="",IF(#REF!="","point","middle"),"span")</f>
        <v>span</v>
      </c>
      <c r="M34" s="23">
        <f t="shared" si="9"/>
        <v>-133898.75</v>
      </c>
      <c r="N34" s="23">
        <f t="shared" si="2"/>
        <v>-5.1267765227130075</v>
      </c>
      <c r="O34" t="s">
        <v>486</v>
      </c>
      <c r="P34">
        <v>1</v>
      </c>
      <c r="Q34" t="s">
        <v>493</v>
      </c>
      <c r="R34" t="s">
        <v>492</v>
      </c>
      <c r="S34" t="s">
        <v>487</v>
      </c>
    </row>
    <row r="35" spans="1:19" x14ac:dyDescent="0.4">
      <c r="A35" t="s">
        <v>1470</v>
      </c>
      <c r="B35" s="24">
        <v>2003</v>
      </c>
      <c r="C35" s="24">
        <v>2</v>
      </c>
      <c r="D35" s="24">
        <v>4</v>
      </c>
      <c r="G35" s="20">
        <f t="shared" si="3"/>
        <v>1044360000</v>
      </c>
      <c r="I35" s="20">
        <f>700*24</f>
        <v>16800</v>
      </c>
      <c r="J35" s="22" t="s">
        <v>489</v>
      </c>
      <c r="K35" s="22" t="str">
        <f>IF(I35="",IF(#REF!="","point","middle"),"span")</f>
        <v>span</v>
      </c>
      <c r="M35" s="23">
        <f t="shared" si="9"/>
        <v>-73010.75</v>
      </c>
      <c r="N35" s="23">
        <f t="shared" si="2"/>
        <v>-4.8633868097363422</v>
      </c>
      <c r="O35" t="s">
        <v>486</v>
      </c>
      <c r="P35">
        <v>1</v>
      </c>
      <c r="Q35" t="s">
        <v>491</v>
      </c>
      <c r="R35" t="s">
        <v>495</v>
      </c>
      <c r="S35" t="s">
        <v>490</v>
      </c>
    </row>
    <row r="36" spans="1:19" x14ac:dyDescent="0.4">
      <c r="A36" t="s">
        <v>1470</v>
      </c>
      <c r="B36" s="24">
        <v>2004</v>
      </c>
      <c r="C36" s="24">
        <v>2</v>
      </c>
      <c r="D36" s="24">
        <v>8</v>
      </c>
      <c r="G36" s="20">
        <f t="shared" si="3"/>
        <v>1076241600</v>
      </c>
      <c r="I36" s="20">
        <f>735*24</f>
        <v>17640</v>
      </c>
      <c r="J36" s="22" t="s">
        <v>489</v>
      </c>
      <c r="K36" s="22" t="str">
        <f>IF(I36="",IF(#REF!="","point","middle"),"span")</f>
        <v>span</v>
      </c>
      <c r="M36" s="23">
        <f t="shared" si="9"/>
        <v>-64154.75</v>
      </c>
      <c r="N36" s="23">
        <f t="shared" si="2"/>
        <v>-4.8072288169450692</v>
      </c>
      <c r="O36" t="s">
        <v>486</v>
      </c>
      <c r="P36">
        <v>1</v>
      </c>
      <c r="Q36" t="s">
        <v>491</v>
      </c>
      <c r="R36" t="s">
        <v>494</v>
      </c>
      <c r="S36" t="s">
        <v>490</v>
      </c>
    </row>
    <row r="37" spans="1:19" x14ac:dyDescent="0.4">
      <c r="A37" t="s">
        <v>1470</v>
      </c>
      <c r="B37" s="24">
        <v>2007</v>
      </c>
      <c r="C37" s="24">
        <v>1</v>
      </c>
      <c r="D37" s="24">
        <v>7</v>
      </c>
      <c r="G37" s="20">
        <f t="shared" si="3"/>
        <v>1168171200</v>
      </c>
      <c r="I37" s="20">
        <f>414*24</f>
        <v>9936</v>
      </c>
      <c r="J37" s="22" t="s">
        <v>489</v>
      </c>
      <c r="K37" s="22" t="str">
        <f>IF(I37="",IF(#REF!="","point","middle"),"span")</f>
        <v>span</v>
      </c>
      <c r="M37" s="23">
        <f t="shared" si="9"/>
        <v>-38618.75</v>
      </c>
      <c r="N37" s="23">
        <f t="shared" si="2"/>
        <v>-4.5867982125586533</v>
      </c>
      <c r="O37" t="s">
        <v>486</v>
      </c>
      <c r="P37">
        <v>1</v>
      </c>
      <c r="Q37" t="s">
        <v>496</v>
      </c>
      <c r="R37" t="s">
        <v>497</v>
      </c>
      <c r="S37" t="s">
        <v>490</v>
      </c>
    </row>
    <row r="38" spans="1:19" x14ac:dyDescent="0.4">
      <c r="A38" t="s">
        <v>1470</v>
      </c>
      <c r="B38" s="24">
        <v>2007</v>
      </c>
      <c r="G38" s="20">
        <f t="shared" si="3"/>
        <v>1183248000</v>
      </c>
      <c r="J38" s="22" t="s">
        <v>489</v>
      </c>
      <c r="K38" s="22" t="str">
        <f t="shared" si="0"/>
        <v>point</v>
      </c>
      <c r="M38" s="23">
        <f t="shared" si="9"/>
        <v>-34430.75</v>
      </c>
      <c r="N38" s="23">
        <f t="shared" si="2"/>
        <v>-4.5369464829809978</v>
      </c>
      <c r="O38" t="s">
        <v>486</v>
      </c>
      <c r="P38">
        <v>1</v>
      </c>
      <c r="Q38" t="s">
        <v>498</v>
      </c>
      <c r="S38" t="s">
        <v>499</v>
      </c>
    </row>
    <row r="39" spans="1:19" x14ac:dyDescent="0.4">
      <c r="A39" t="s">
        <v>1470</v>
      </c>
      <c r="B39" s="24">
        <v>2010</v>
      </c>
      <c r="C39" s="24">
        <v>2</v>
      </c>
      <c r="D39" s="24">
        <v>27</v>
      </c>
      <c r="E39" s="24">
        <v>6</v>
      </c>
      <c r="F39" s="24">
        <v>34</v>
      </c>
      <c r="G39" s="20">
        <f t="shared" si="3"/>
        <v>1267252439.9999998</v>
      </c>
      <c r="J39" s="22" t="s">
        <v>489</v>
      </c>
      <c r="K39" s="22" t="str">
        <f t="shared" si="0"/>
        <v>point</v>
      </c>
      <c r="M39" s="23">
        <f t="shared" si="9"/>
        <v>-11096.1833333334</v>
      </c>
      <c r="N39" s="23">
        <f t="shared" si="2"/>
        <v>-4.0451736236237439</v>
      </c>
      <c r="O39" t="s">
        <v>502</v>
      </c>
      <c r="P39">
        <v>-1</v>
      </c>
      <c r="Q39" t="s">
        <v>524</v>
      </c>
    </row>
    <row r="40" spans="1:19" x14ac:dyDescent="0.4">
      <c r="A40" t="s">
        <v>1470</v>
      </c>
      <c r="B40" s="24">
        <v>2011</v>
      </c>
      <c r="C40" s="24">
        <v>2</v>
      </c>
      <c r="G40" s="20">
        <f t="shared" si="3"/>
        <v>1297814400</v>
      </c>
      <c r="J40" t="s">
        <v>656</v>
      </c>
      <c r="K40" s="22" t="str">
        <f t="shared" si="0"/>
        <v>point</v>
      </c>
      <c r="M40" s="23">
        <f t="shared" si="9"/>
        <v>-2606.75</v>
      </c>
      <c r="N40" s="23">
        <f t="shared" si="2"/>
        <v>-3.416099382212948</v>
      </c>
      <c r="O40" t="s">
        <v>502</v>
      </c>
      <c r="P40">
        <v>1</v>
      </c>
      <c r="Q40" t="s">
        <v>505</v>
      </c>
      <c r="S40" t="s">
        <v>504</v>
      </c>
    </row>
    <row r="41" spans="1:19" x14ac:dyDescent="0.4">
      <c r="A41" t="s">
        <v>1470</v>
      </c>
      <c r="B41" s="24">
        <v>2011</v>
      </c>
      <c r="C41" s="24">
        <v>4</v>
      </c>
      <c r="D41" s="24">
        <v>26</v>
      </c>
      <c r="G41" s="20">
        <f t="shared" si="3"/>
        <v>1303819200</v>
      </c>
      <c r="H41" s="20">
        <f>3*24</f>
        <v>72</v>
      </c>
      <c r="J41" t="s">
        <v>656</v>
      </c>
      <c r="K41" s="22" t="str">
        <f t="shared" si="0"/>
        <v>span</v>
      </c>
      <c r="M41" s="23">
        <f t="shared" si="9"/>
        <v>-938.75</v>
      </c>
      <c r="N41" s="23">
        <f t="shared" si="2"/>
        <v>-2.9725499500122248</v>
      </c>
      <c r="O41" t="s">
        <v>502</v>
      </c>
      <c r="P41">
        <v>2</v>
      </c>
      <c r="Q41" t="s">
        <v>503</v>
      </c>
      <c r="S41" t="s">
        <v>504</v>
      </c>
    </row>
    <row r="42" spans="1:19" x14ac:dyDescent="0.4">
      <c r="A42" t="s">
        <v>1470</v>
      </c>
      <c r="B42" s="24">
        <v>2011</v>
      </c>
      <c r="C42" s="24">
        <v>4</v>
      </c>
      <c r="D42" s="24">
        <v>26</v>
      </c>
      <c r="G42" s="20">
        <f t="shared" si="3"/>
        <v>1303819200</v>
      </c>
      <c r="J42" t="s">
        <v>656</v>
      </c>
      <c r="K42" s="22" t="str">
        <f t="shared" si="0"/>
        <v>point</v>
      </c>
      <c r="M42" s="23">
        <f t="shared" si="9"/>
        <v>-938.75</v>
      </c>
      <c r="N42" s="23">
        <f t="shared" si="2"/>
        <v>-2.9725499500122248</v>
      </c>
      <c r="O42" t="s">
        <v>500</v>
      </c>
      <c r="P42">
        <v>0</v>
      </c>
      <c r="Q42" t="s">
        <v>501</v>
      </c>
      <c r="R42" t="s">
        <v>507</v>
      </c>
      <c r="S42" t="s">
        <v>504</v>
      </c>
    </row>
    <row r="43" spans="1:19" x14ac:dyDescent="0.4">
      <c r="A43" t="s">
        <v>1470</v>
      </c>
      <c r="B43" s="24">
        <v>2011</v>
      </c>
      <c r="C43" s="24">
        <v>6</v>
      </c>
      <c r="D43" s="24">
        <v>1</v>
      </c>
      <c r="G43" s="20">
        <f t="shared" si="3"/>
        <v>1306929600</v>
      </c>
      <c r="J43" t="s">
        <v>656</v>
      </c>
      <c r="K43" s="22" t="str">
        <f t="shared" si="0"/>
        <v>point</v>
      </c>
      <c r="M43" s="23">
        <f t="shared" si="9"/>
        <v>-74.75</v>
      </c>
      <c r="N43" s="23">
        <f t="shared" si="2"/>
        <v>-1.8736111969964673</v>
      </c>
      <c r="O43" t="s">
        <v>502</v>
      </c>
      <c r="P43">
        <v>2</v>
      </c>
      <c r="Q43" t="s">
        <v>508</v>
      </c>
      <c r="S43" t="s">
        <v>504</v>
      </c>
    </row>
    <row r="44" spans="1:19" x14ac:dyDescent="0.4">
      <c r="A44" t="s">
        <v>1470</v>
      </c>
      <c r="B44" s="24">
        <v>2011</v>
      </c>
      <c r="C44" s="24">
        <v>6</v>
      </c>
      <c r="D44" s="24">
        <v>1</v>
      </c>
      <c r="G44" s="20">
        <f t="shared" si="3"/>
        <v>1306929600</v>
      </c>
      <c r="J44" t="s">
        <v>656</v>
      </c>
      <c r="K44" s="22" t="str">
        <f t="shared" si="0"/>
        <v>point</v>
      </c>
      <c r="M44" s="23">
        <f t="shared" si="9"/>
        <v>-74.75</v>
      </c>
      <c r="N44" s="23">
        <f t="shared" si="2"/>
        <v>-1.8736111969964673</v>
      </c>
      <c r="O44" t="s">
        <v>500</v>
      </c>
      <c r="P44">
        <v>0</v>
      </c>
      <c r="Q44" t="s">
        <v>506</v>
      </c>
      <c r="R44" t="s">
        <v>507</v>
      </c>
      <c r="S44" t="s">
        <v>504</v>
      </c>
    </row>
    <row r="45" spans="1:19" x14ac:dyDescent="0.4">
      <c r="A45" t="s">
        <v>1470</v>
      </c>
      <c r="B45" s="24">
        <v>2011</v>
      </c>
      <c r="C45" s="24">
        <v>6</v>
      </c>
      <c r="D45" s="24">
        <v>4</v>
      </c>
      <c r="G45" s="20">
        <f t="shared" si="3"/>
        <v>1307188800</v>
      </c>
      <c r="H45" s="20">
        <f>6*24</f>
        <v>144</v>
      </c>
      <c r="J45" t="s">
        <v>656</v>
      </c>
      <c r="K45" s="22" t="str">
        <f t="shared" si="0"/>
        <v>span</v>
      </c>
      <c r="M45" s="23">
        <f t="shared" si="9"/>
        <v>-2.75</v>
      </c>
      <c r="N45" s="23">
        <f t="shared" si="2"/>
        <v>-0.43933269383026263</v>
      </c>
      <c r="O45" t="s">
        <v>502</v>
      </c>
      <c r="P45">
        <v>2</v>
      </c>
      <c r="Q45" t="s">
        <v>509</v>
      </c>
      <c r="S45" t="s">
        <v>504</v>
      </c>
    </row>
    <row r="46" spans="1:19" x14ac:dyDescent="0.4">
      <c r="A46" t="s">
        <v>1470</v>
      </c>
      <c r="B46" s="24">
        <v>2011</v>
      </c>
      <c r="C46" s="24">
        <v>6</v>
      </c>
      <c r="D46" s="24">
        <v>4</v>
      </c>
      <c r="E46" s="24">
        <v>14</v>
      </c>
      <c r="F46" s="24">
        <v>45</v>
      </c>
      <c r="G46" s="20">
        <f t="shared" si="3"/>
        <v>1307198700.0000002</v>
      </c>
      <c r="J46" t="s">
        <v>656</v>
      </c>
      <c r="K46" s="22" t="str">
        <f t="shared" si="0"/>
        <v>point</v>
      </c>
      <c r="L46" s="20" t="s">
        <v>670</v>
      </c>
      <c r="M46" s="23">
        <f>(G46-1307198700)/3600</f>
        <v>6.6227383083767361E-11</v>
      </c>
      <c r="N46" s="23">
        <f t="shared" si="2"/>
        <v>-10.178962405374874</v>
      </c>
      <c r="O46" t="s">
        <v>510</v>
      </c>
      <c r="P46">
        <v>5</v>
      </c>
      <c r="Q46" t="s">
        <v>511</v>
      </c>
      <c r="S46" t="s">
        <v>504</v>
      </c>
    </row>
    <row r="47" spans="1:19" x14ac:dyDescent="0.4">
      <c r="A47" t="s">
        <v>1470</v>
      </c>
      <c r="B47" s="24">
        <v>2011</v>
      </c>
      <c r="C47" s="24">
        <v>6</v>
      </c>
      <c r="D47" s="24">
        <v>4</v>
      </c>
      <c r="E47" s="24">
        <v>14</v>
      </c>
      <c r="F47" s="24">
        <v>45</v>
      </c>
      <c r="G47" s="20">
        <f t="shared" si="3"/>
        <v>1307198700.0000002</v>
      </c>
      <c r="H47" s="20">
        <v>27</v>
      </c>
      <c r="J47" t="s">
        <v>656</v>
      </c>
      <c r="K47" s="22" t="str">
        <f t="shared" si="0"/>
        <v>span</v>
      </c>
      <c r="L47" s="20" t="s">
        <v>671</v>
      </c>
      <c r="M47" s="23">
        <f t="shared" ref="M47:M54" si="11">(G47-1307198700)/3600</f>
        <v>6.6227383083767361E-11</v>
      </c>
      <c r="N47" s="23">
        <f t="shared" si="2"/>
        <v>-10.178962405374874</v>
      </c>
      <c r="O47" t="s">
        <v>510</v>
      </c>
      <c r="P47">
        <v>5</v>
      </c>
      <c r="Q47" t="s">
        <v>513</v>
      </c>
      <c r="R47" t="s">
        <v>515</v>
      </c>
      <c r="S47" t="s">
        <v>514</v>
      </c>
    </row>
    <row r="48" spans="1:19" x14ac:dyDescent="0.4">
      <c r="A48" t="s">
        <v>1470</v>
      </c>
      <c r="B48" s="24">
        <v>2011</v>
      </c>
      <c r="C48" s="24">
        <v>6</v>
      </c>
      <c r="D48" s="24">
        <v>6</v>
      </c>
      <c r="E48" s="24">
        <v>0</v>
      </c>
      <c r="G48" s="20">
        <f t="shared" si="3"/>
        <v>1307318400</v>
      </c>
      <c r="H48" s="20">
        <v>36</v>
      </c>
      <c r="J48" t="s">
        <v>656</v>
      </c>
      <c r="K48" s="22" t="str">
        <f t="shared" si="0"/>
        <v>span</v>
      </c>
      <c r="M48" s="23">
        <f t="shared" si="11"/>
        <v>33.25</v>
      </c>
      <c r="N48" s="23">
        <f t="shared" si="2"/>
        <v>1.5217916496391235</v>
      </c>
      <c r="O48" t="s">
        <v>510</v>
      </c>
      <c r="P48">
        <v>4</v>
      </c>
      <c r="Q48" t="s">
        <v>516</v>
      </c>
      <c r="R48" t="s">
        <v>517</v>
      </c>
      <c r="S48" t="s">
        <v>514</v>
      </c>
    </row>
    <row r="49" spans="1:19" x14ac:dyDescent="0.4">
      <c r="A49" t="s">
        <v>1470</v>
      </c>
      <c r="B49" s="24">
        <v>2011</v>
      </c>
      <c r="C49" s="24">
        <v>6</v>
      </c>
      <c r="D49" s="24">
        <v>6</v>
      </c>
      <c r="G49" s="20">
        <f t="shared" si="3"/>
        <v>1307361600</v>
      </c>
      <c r="H49" s="20">
        <f>5*24</f>
        <v>120</v>
      </c>
      <c r="J49" t="s">
        <v>656</v>
      </c>
      <c r="K49" s="22" t="str">
        <f t="shared" si="0"/>
        <v>span</v>
      </c>
      <c r="M49" s="23">
        <f t="shared" si="11"/>
        <v>45.25</v>
      </c>
      <c r="N49" s="23">
        <f t="shared" si="2"/>
        <v>1.655618583541222</v>
      </c>
      <c r="O49" t="s">
        <v>510</v>
      </c>
      <c r="P49">
        <v>2</v>
      </c>
      <c r="Q49" t="s">
        <v>519</v>
      </c>
      <c r="S49" t="s">
        <v>520</v>
      </c>
    </row>
    <row r="50" spans="1:19" x14ac:dyDescent="0.4">
      <c r="A50" t="s">
        <v>1470</v>
      </c>
      <c r="B50" s="24">
        <v>2011</v>
      </c>
      <c r="C50" s="24">
        <v>6</v>
      </c>
      <c r="D50" s="24">
        <v>7</v>
      </c>
      <c r="G50" s="20">
        <f t="shared" si="3"/>
        <v>1307448000</v>
      </c>
      <c r="H50" s="20">
        <f>8*24</f>
        <v>192</v>
      </c>
      <c r="J50" t="s">
        <v>656</v>
      </c>
      <c r="K50" s="22" t="str">
        <f t="shared" si="0"/>
        <v>span</v>
      </c>
      <c r="M50" s="23">
        <f t="shared" si="11"/>
        <v>69.25</v>
      </c>
      <c r="N50" s="23">
        <f t="shared" si="2"/>
        <v>1.8404197777364861</v>
      </c>
      <c r="O50" t="s">
        <v>510</v>
      </c>
      <c r="P50">
        <v>4</v>
      </c>
      <c r="Q50" t="s">
        <v>518</v>
      </c>
      <c r="R50" t="s">
        <v>529</v>
      </c>
      <c r="S50" t="s">
        <v>514</v>
      </c>
    </row>
    <row r="51" spans="1:19" x14ac:dyDescent="0.4">
      <c r="A51" t="s">
        <v>1470</v>
      </c>
      <c r="B51" s="24">
        <v>2011</v>
      </c>
      <c r="C51" s="24">
        <v>6</v>
      </c>
      <c r="D51" s="24">
        <v>11</v>
      </c>
      <c r="G51" s="20">
        <f t="shared" si="3"/>
        <v>1307793600</v>
      </c>
      <c r="H51" s="20">
        <f>30*24</f>
        <v>720</v>
      </c>
      <c r="J51" t="s">
        <v>656</v>
      </c>
      <c r="K51" s="22" t="str">
        <f t="shared" si="0"/>
        <v>span</v>
      </c>
      <c r="M51" s="23">
        <f t="shared" si="11"/>
        <v>165.25</v>
      </c>
      <c r="N51" s="23">
        <f t="shared" si="2"/>
        <v>2.2181414681576777</v>
      </c>
      <c r="O51" t="s">
        <v>539</v>
      </c>
      <c r="P51">
        <v>2</v>
      </c>
      <c r="Q51" t="s">
        <v>531</v>
      </c>
      <c r="S51" t="s">
        <v>520</v>
      </c>
    </row>
    <row r="52" spans="1:19" x14ac:dyDescent="0.4">
      <c r="A52" t="s">
        <v>1470</v>
      </c>
      <c r="B52" s="24">
        <v>2011</v>
      </c>
      <c r="C52" s="24">
        <v>6</v>
      </c>
      <c r="D52" s="24">
        <v>15</v>
      </c>
      <c r="G52" s="20">
        <f t="shared" si="3"/>
        <v>1308139200</v>
      </c>
      <c r="H52" s="20">
        <f>274*24</f>
        <v>6576</v>
      </c>
      <c r="J52" t="s">
        <v>656</v>
      </c>
      <c r="K52" s="22" t="str">
        <f t="shared" si="0"/>
        <v>span</v>
      </c>
      <c r="M52" s="23">
        <f t="shared" si="11"/>
        <v>261.25</v>
      </c>
      <c r="N52" s="23">
        <f t="shared" si="2"/>
        <v>2.4170562991191105</v>
      </c>
      <c r="O52" t="s">
        <v>510</v>
      </c>
      <c r="P52">
        <v>3</v>
      </c>
      <c r="Q52" t="s">
        <v>523</v>
      </c>
      <c r="R52" t="s">
        <v>522</v>
      </c>
      <c r="S52" t="s">
        <v>499</v>
      </c>
    </row>
    <row r="53" spans="1:19" x14ac:dyDescent="0.4">
      <c r="A53" t="s">
        <v>1470</v>
      </c>
      <c r="B53" s="24">
        <v>2011</v>
      </c>
      <c r="C53" s="24">
        <v>6</v>
      </c>
      <c r="D53" s="24">
        <v>25</v>
      </c>
      <c r="G53" s="20">
        <f t="shared" si="3"/>
        <v>1309003200</v>
      </c>
      <c r="J53" t="s">
        <v>656</v>
      </c>
      <c r="K53" s="22" t="str">
        <f t="shared" si="0"/>
        <v>point</v>
      </c>
      <c r="M53" s="23">
        <f t="shared" si="11"/>
        <v>501.25</v>
      </c>
      <c r="N53" s="23">
        <f t="shared" si="2"/>
        <v>2.7000543856282389</v>
      </c>
      <c r="O53" t="s">
        <v>510</v>
      </c>
      <c r="P53">
        <v>3</v>
      </c>
      <c r="Q53" t="s">
        <v>521</v>
      </c>
      <c r="S53" t="s">
        <v>499</v>
      </c>
    </row>
    <row r="54" spans="1:19" x14ac:dyDescent="0.4">
      <c r="A54" t="s">
        <v>1470</v>
      </c>
      <c r="B54" s="24">
        <v>2012</v>
      </c>
      <c r="C54" s="24">
        <v>3</v>
      </c>
      <c r="D54" s="24">
        <v>15</v>
      </c>
      <c r="G54" s="20">
        <f t="shared" si="3"/>
        <v>1331812800</v>
      </c>
      <c r="J54" t="s">
        <v>656</v>
      </c>
      <c r="K54" s="22" t="str">
        <f t="shared" si="0"/>
        <v>point</v>
      </c>
      <c r="M54" s="23">
        <f t="shared" si="11"/>
        <v>6837.25</v>
      </c>
      <c r="N54" s="23">
        <f t="shared" si="2"/>
        <v>3.8348814599110788</v>
      </c>
      <c r="O54" t="s">
        <v>462</v>
      </c>
      <c r="P54">
        <v>0</v>
      </c>
      <c r="Q54" s="22" t="s">
        <v>548</v>
      </c>
      <c r="S54" t="s">
        <v>499</v>
      </c>
    </row>
    <row r="55" spans="1:19" x14ac:dyDescent="0.4">
      <c r="A55" t="s">
        <v>1471</v>
      </c>
      <c r="B55" s="24">
        <v>1850</v>
      </c>
      <c r="G55" s="20">
        <f t="shared" si="3"/>
        <v>56187043200</v>
      </c>
      <c r="J55" t="s">
        <v>656</v>
      </c>
      <c r="K55" s="22" t="str">
        <f t="shared" si="0"/>
        <v>point</v>
      </c>
      <c r="M55" s="23">
        <f t="shared" ref="M55:M72" si="12">(G55-386228100)/3600</f>
        <v>15500226.416666666</v>
      </c>
      <c r="N55" s="23">
        <f t="shared" si="2"/>
        <v>7.190338042092276</v>
      </c>
      <c r="O55" t="s">
        <v>462</v>
      </c>
      <c r="P55">
        <v>4</v>
      </c>
      <c r="Q55" s="22" t="s">
        <v>1053</v>
      </c>
      <c r="S55" t="s">
        <v>867</v>
      </c>
    </row>
    <row r="56" spans="1:19" x14ac:dyDescent="0.4">
      <c r="A56" t="s">
        <v>1471</v>
      </c>
      <c r="B56" s="24">
        <v>1980</v>
      </c>
      <c r="C56" s="24">
        <v>12</v>
      </c>
      <c r="G56" s="20">
        <f t="shared" si="3"/>
        <v>345772800</v>
      </c>
      <c r="J56" t="s">
        <v>656</v>
      </c>
      <c r="K56" s="22" t="str">
        <f t="shared" si="0"/>
        <v>point</v>
      </c>
      <c r="M56" s="23">
        <f t="shared" si="12"/>
        <v>-11237.583333333334</v>
      </c>
      <c r="N56" s="23">
        <f t="shared" si="2"/>
        <v>-4.050672925303922</v>
      </c>
      <c r="O56" t="s">
        <v>464</v>
      </c>
      <c r="P56">
        <v>1</v>
      </c>
      <c r="Q56" s="22" t="s">
        <v>1545</v>
      </c>
      <c r="S56" t="s">
        <v>1547</v>
      </c>
    </row>
    <row r="57" spans="1:19" x14ac:dyDescent="0.4">
      <c r="A57" t="s">
        <v>1471</v>
      </c>
      <c r="B57" s="24">
        <v>1981</v>
      </c>
      <c r="C57" s="24">
        <v>1</v>
      </c>
      <c r="D57" s="24">
        <v>1</v>
      </c>
      <c r="G57" s="20">
        <f t="shared" si="3"/>
        <v>347198400</v>
      </c>
      <c r="H57" s="20">
        <f>365*24</f>
        <v>8760</v>
      </c>
      <c r="J57" t="s">
        <v>656</v>
      </c>
      <c r="K57" s="22" t="str">
        <f t="shared" ref="K57" si="13">IF(H57="",IF(I57="","point","middle"),"span")</f>
        <v>span</v>
      </c>
      <c r="M57" s="23">
        <f t="shared" si="12"/>
        <v>-10841.583333333334</v>
      </c>
      <c r="N57" s="23">
        <f t="shared" ref="N57" si="14">IF(M57=0,0, IF(M57&gt;0,LOG10(M57), -LOG10(-1*M57)))</f>
        <v>-4.0350927123421627</v>
      </c>
      <c r="O57" t="s">
        <v>464</v>
      </c>
      <c r="P57">
        <v>1</v>
      </c>
      <c r="Q57" s="22" t="s">
        <v>1546</v>
      </c>
      <c r="S57" t="s">
        <v>1547</v>
      </c>
    </row>
    <row r="58" spans="1:19" x14ac:dyDescent="0.4">
      <c r="A58" t="s">
        <v>1471</v>
      </c>
      <c r="B58" s="24">
        <v>1981</v>
      </c>
      <c r="C58" s="24">
        <v>2</v>
      </c>
      <c r="G58" s="20">
        <f t="shared" si="3"/>
        <v>351129600</v>
      </c>
      <c r="J58" t="s">
        <v>656</v>
      </c>
      <c r="K58" s="22" t="str">
        <f t="shared" ref="K58" si="15">IF(H58="",IF(I58="","point","middle"),"span")</f>
        <v>point</v>
      </c>
      <c r="M58" s="23">
        <f t="shared" ref="M58:M59" si="16">(G58-386228100)/3600</f>
        <v>-9749.5833333333339</v>
      </c>
      <c r="N58" s="23">
        <f t="shared" si="2"/>
        <v>-3.9889860557087093</v>
      </c>
      <c r="O58" t="s">
        <v>464</v>
      </c>
      <c r="P58">
        <v>1</v>
      </c>
      <c r="Q58" s="22" t="s">
        <v>1545</v>
      </c>
      <c r="S58" t="s">
        <v>1547</v>
      </c>
    </row>
    <row r="59" spans="1:19" x14ac:dyDescent="0.4">
      <c r="A59" t="s">
        <v>1471</v>
      </c>
      <c r="B59" s="24">
        <v>1981</v>
      </c>
      <c r="C59" s="24">
        <v>11</v>
      </c>
      <c r="D59" s="24">
        <v>26</v>
      </c>
      <c r="E59" s="24">
        <v>6</v>
      </c>
      <c r="F59" s="24">
        <v>41</v>
      </c>
      <c r="G59" s="20">
        <f t="shared" si="3"/>
        <v>375604859.99999982</v>
      </c>
      <c r="J59" t="s">
        <v>656</v>
      </c>
      <c r="K59" s="22" t="str">
        <f t="shared" ref="K59" si="17">IF(H59="",IF(I59="","point","middle"),"span")</f>
        <v>point</v>
      </c>
      <c r="M59" s="23">
        <f t="shared" si="16"/>
        <v>-2950.9000000000497</v>
      </c>
      <c r="N59" s="23">
        <f t="shared" si="2"/>
        <v>-3.4699544923925285</v>
      </c>
      <c r="O59" t="s">
        <v>464</v>
      </c>
      <c r="P59">
        <v>1</v>
      </c>
      <c r="Q59" s="22" t="s">
        <v>1562</v>
      </c>
      <c r="S59" t="s">
        <v>1557</v>
      </c>
    </row>
    <row r="60" spans="1:19" x14ac:dyDescent="0.4">
      <c r="A60" t="s">
        <v>1471</v>
      </c>
      <c r="B60" s="24">
        <v>1981</v>
      </c>
      <c r="C60" s="24">
        <v>12</v>
      </c>
      <c r="D60" s="24">
        <v>4</v>
      </c>
      <c r="E60" s="24">
        <v>14</v>
      </c>
      <c r="F60" s="24">
        <v>18</v>
      </c>
      <c r="G60" s="20">
        <f t="shared" si="3"/>
        <v>376323479.99999994</v>
      </c>
      <c r="J60" t="s">
        <v>656</v>
      </c>
      <c r="K60" s="22" t="str">
        <f t="shared" ref="K60" si="18">IF(H60="",IF(I60="","point","middle"),"span")</f>
        <v>point</v>
      </c>
      <c r="M60" s="23">
        <f t="shared" si="12"/>
        <v>-2751.2833333333497</v>
      </c>
      <c r="N60" s="23">
        <f t="shared" si="2"/>
        <v>-3.4395353173133505</v>
      </c>
      <c r="O60" t="s">
        <v>464</v>
      </c>
      <c r="P60">
        <v>1</v>
      </c>
      <c r="Q60" s="22" t="s">
        <v>1563</v>
      </c>
      <c r="S60" t="s">
        <v>1557</v>
      </c>
    </row>
    <row r="61" spans="1:19" x14ac:dyDescent="0.4">
      <c r="A61" t="s">
        <v>1471</v>
      </c>
      <c r="B61" s="24">
        <v>1982</v>
      </c>
      <c r="C61" s="24">
        <v>1</v>
      </c>
      <c r="G61" s="20">
        <f t="shared" si="3"/>
        <v>379987200</v>
      </c>
      <c r="J61" t="s">
        <v>656</v>
      </c>
      <c r="K61" s="22" t="str">
        <f t="shared" si="0"/>
        <v>point</v>
      </c>
      <c r="M61" s="23">
        <f t="shared" si="12"/>
        <v>-1733.5833333333333</v>
      </c>
      <c r="N61" s="23">
        <f t="shared" ref="N61" si="19">IF(M61=0,0, IF(M61&gt;0,LOG10(M61), -LOG10(-1*M61)))</f>
        <v>-3.2389447230255599</v>
      </c>
      <c r="O61" t="s">
        <v>464</v>
      </c>
      <c r="P61">
        <v>1</v>
      </c>
      <c r="Q61" s="22" t="s">
        <v>1559</v>
      </c>
      <c r="S61" t="s">
        <v>1557</v>
      </c>
    </row>
    <row r="62" spans="1:19" x14ac:dyDescent="0.4">
      <c r="A62" t="s">
        <v>1471</v>
      </c>
      <c r="B62" s="24">
        <v>1982</v>
      </c>
      <c r="C62" s="24">
        <v>2</v>
      </c>
      <c r="D62" s="24">
        <v>1</v>
      </c>
      <c r="G62" s="20">
        <f t="shared" si="3"/>
        <v>381412800</v>
      </c>
      <c r="H62" s="20">
        <f>28*24</f>
        <v>672</v>
      </c>
      <c r="J62" t="s">
        <v>656</v>
      </c>
      <c r="K62" s="22" t="str">
        <f t="shared" si="0"/>
        <v>span</v>
      </c>
      <c r="M62" s="23">
        <f t="shared" si="12"/>
        <v>-1337.5833333333333</v>
      </c>
      <c r="N62" s="23">
        <f t="shared" si="2"/>
        <v>-3.126320848696571</v>
      </c>
      <c r="O62" t="s">
        <v>464</v>
      </c>
      <c r="P62">
        <v>1</v>
      </c>
      <c r="Q62" s="22" t="s">
        <v>1558</v>
      </c>
      <c r="S62" t="s">
        <v>1530</v>
      </c>
    </row>
    <row r="63" spans="1:19" x14ac:dyDescent="0.4">
      <c r="A63" t="s">
        <v>1471</v>
      </c>
      <c r="B63" s="24">
        <v>1982</v>
      </c>
      <c r="C63" s="24">
        <v>2</v>
      </c>
      <c r="D63" s="24">
        <v>26</v>
      </c>
      <c r="E63" s="24">
        <v>12</v>
      </c>
      <c r="F63" s="24">
        <v>6</v>
      </c>
      <c r="G63" s="20">
        <f t="shared" si="3"/>
        <v>383573159.99999994</v>
      </c>
      <c r="J63" t="s">
        <v>656</v>
      </c>
      <c r="K63" s="22" t="str">
        <f t="shared" ref="K63" si="20">IF(H63="",IF(I63="","point","middle"),"span")</f>
        <v>point</v>
      </c>
      <c r="M63" s="23">
        <f t="shared" si="12"/>
        <v>-737.48333333334995</v>
      </c>
      <c r="N63" s="23">
        <f t="shared" ref="N63" si="21">IF(M63=0,0, IF(M63&gt;0,LOG10(M63), -LOG10(-1*M63)))</f>
        <v>-2.8677522099747468</v>
      </c>
      <c r="O63" t="s">
        <v>464</v>
      </c>
      <c r="P63">
        <v>1</v>
      </c>
      <c r="Q63" s="22" t="s">
        <v>1564</v>
      </c>
      <c r="S63" t="s">
        <v>1557</v>
      </c>
    </row>
    <row r="64" spans="1:19" x14ac:dyDescent="0.4">
      <c r="A64" t="s">
        <v>1471</v>
      </c>
      <c r="B64" s="24">
        <v>1982</v>
      </c>
      <c r="C64" s="24">
        <v>3</v>
      </c>
      <c r="D64" s="24">
        <v>1</v>
      </c>
      <c r="G64" s="20">
        <f t="shared" si="3"/>
        <v>383832000</v>
      </c>
      <c r="H64" s="20">
        <f>10*24</f>
        <v>240</v>
      </c>
      <c r="J64" t="s">
        <v>656</v>
      </c>
      <c r="K64" s="22" t="str">
        <f t="shared" si="0"/>
        <v>span</v>
      </c>
      <c r="M64" s="23">
        <f t="shared" si="12"/>
        <v>-665.58333333333337</v>
      </c>
      <c r="N64" s="23">
        <f t="shared" si="2"/>
        <v>-2.8232024383848469</v>
      </c>
      <c r="O64" t="s">
        <v>502</v>
      </c>
      <c r="P64">
        <v>2</v>
      </c>
      <c r="Q64" t="s">
        <v>1532</v>
      </c>
      <c r="S64" t="s">
        <v>1530</v>
      </c>
    </row>
    <row r="65" spans="1:19" x14ac:dyDescent="0.4">
      <c r="A65" t="s">
        <v>1471</v>
      </c>
      <c r="B65" s="24">
        <v>1982</v>
      </c>
      <c r="C65" s="24">
        <v>3</v>
      </c>
      <c r="D65" s="24">
        <v>6</v>
      </c>
      <c r="E65" s="24">
        <v>7</v>
      </c>
      <c r="F65" s="24">
        <v>24</v>
      </c>
      <c r="G65" s="20">
        <f t="shared" si="3"/>
        <v>384247440.00000006</v>
      </c>
      <c r="J65" t="s">
        <v>656</v>
      </c>
      <c r="K65" s="22" t="str">
        <f t="shared" ref="K65" si="22">IF(H65="",IF(I65="","point","middle"),"span")</f>
        <v>point</v>
      </c>
      <c r="M65" s="23">
        <f t="shared" si="12"/>
        <v>-550.1833333333168</v>
      </c>
      <c r="N65" s="23">
        <f t="shared" si="2"/>
        <v>-2.740507430199421</v>
      </c>
      <c r="O65" t="s">
        <v>464</v>
      </c>
      <c r="P65">
        <v>2</v>
      </c>
      <c r="Q65" s="22" t="s">
        <v>1565</v>
      </c>
      <c r="S65" t="s">
        <v>1557</v>
      </c>
    </row>
    <row r="66" spans="1:19" x14ac:dyDescent="0.4">
      <c r="A66" t="s">
        <v>1471</v>
      </c>
      <c r="B66" s="24">
        <v>1982</v>
      </c>
      <c r="C66" s="24">
        <v>3</v>
      </c>
      <c r="D66" s="24">
        <v>11</v>
      </c>
      <c r="G66" s="20">
        <f t="shared" si="3"/>
        <v>384696000</v>
      </c>
      <c r="J66" t="s">
        <v>656</v>
      </c>
      <c r="K66" s="22" t="str">
        <f t="shared" ref="K66:K67" si="23">IF(H66="",IF(I66="","point","middle"),"span")</f>
        <v>point</v>
      </c>
      <c r="M66" s="23">
        <f t="shared" si="12"/>
        <v>-425.58333333333331</v>
      </c>
      <c r="N66" s="23">
        <f t="shared" si="2"/>
        <v>-2.6289846118079154</v>
      </c>
      <c r="O66" t="s">
        <v>464</v>
      </c>
      <c r="P66">
        <v>2</v>
      </c>
      <c r="Q66" s="22" t="s">
        <v>1531</v>
      </c>
      <c r="S66" t="s">
        <v>1530</v>
      </c>
    </row>
    <row r="67" spans="1:19" x14ac:dyDescent="0.4">
      <c r="A67" t="s">
        <v>1471</v>
      </c>
      <c r="B67" s="24">
        <v>1982</v>
      </c>
      <c r="C67" s="24">
        <v>3</v>
      </c>
      <c r="D67" s="24">
        <v>22</v>
      </c>
      <c r="E67" s="24">
        <v>9</v>
      </c>
      <c r="F67" s="24">
        <v>26</v>
      </c>
      <c r="G67" s="20">
        <f t="shared" si="3"/>
        <v>385637160.00000006</v>
      </c>
      <c r="J67" t="s">
        <v>656</v>
      </c>
      <c r="K67" s="22" t="str">
        <f t="shared" si="23"/>
        <v>point</v>
      </c>
      <c r="M67" s="23">
        <f t="shared" si="12"/>
        <v>-164.14999999998344</v>
      </c>
      <c r="N67" s="23">
        <f t="shared" si="2"/>
        <v>-2.2152408870653151</v>
      </c>
      <c r="O67" t="s">
        <v>464</v>
      </c>
      <c r="P67">
        <v>1</v>
      </c>
      <c r="Q67" s="22" t="s">
        <v>1575</v>
      </c>
      <c r="S67" t="s">
        <v>1557</v>
      </c>
    </row>
    <row r="68" spans="1:19" x14ac:dyDescent="0.4">
      <c r="A68" t="s">
        <v>1471</v>
      </c>
      <c r="B68" s="24">
        <v>1982</v>
      </c>
      <c r="C68" s="24">
        <v>3</v>
      </c>
      <c r="D68" s="24">
        <v>27</v>
      </c>
      <c r="E68" s="24">
        <v>3</v>
      </c>
      <c r="F68" s="24">
        <v>16</v>
      </c>
      <c r="G68" s="20">
        <f t="shared" si="3"/>
        <v>386046960</v>
      </c>
      <c r="H68" s="24">
        <v>4</v>
      </c>
      <c r="J68" t="s">
        <v>656</v>
      </c>
      <c r="K68" s="22" t="str">
        <f t="shared" ref="K68" si="24">IF(H68="",IF(I68="","point","middle"),"span")</f>
        <v>span</v>
      </c>
      <c r="M68" s="23">
        <f t="shared" ref="M68" si="25">(G68-386228100)/3600</f>
        <v>-50.31666666666667</v>
      </c>
      <c r="N68" s="23">
        <f t="shared" ref="N68" si="26">IF(M68=0,0, IF(M68&gt;0,LOG10(M68), -LOG10(-1*M68)))</f>
        <v>-1.7017118626394541</v>
      </c>
      <c r="O68" t="s">
        <v>464</v>
      </c>
      <c r="P68">
        <v>2</v>
      </c>
      <c r="Q68" s="22" t="s">
        <v>1576</v>
      </c>
      <c r="S68" t="s">
        <v>1557</v>
      </c>
    </row>
    <row r="69" spans="1:19" x14ac:dyDescent="0.4">
      <c r="A69" t="s">
        <v>1471</v>
      </c>
      <c r="B69" s="24">
        <v>1982</v>
      </c>
      <c r="C69" s="24">
        <v>3</v>
      </c>
      <c r="D69" s="24">
        <v>28</v>
      </c>
      <c r="E69" s="24">
        <v>6</v>
      </c>
      <c r="F69" s="24">
        <v>37</v>
      </c>
      <c r="G69" s="20">
        <f t="shared" si="3"/>
        <v>386145420</v>
      </c>
      <c r="J69" t="s">
        <v>656</v>
      </c>
      <c r="K69" s="22" t="str">
        <f t="shared" ref="K69" si="27">IF(H69="",IF(I69="","point","middle"),"span")</f>
        <v>point</v>
      </c>
      <c r="M69" s="23">
        <f t="shared" si="12"/>
        <v>-22.966666666666665</v>
      </c>
      <c r="N69" s="23">
        <f t="shared" ref="N69" si="28">IF(M69=0,0, IF(M69&gt;0,LOG10(M69), -LOG10(-1*M69)))</f>
        <v>-1.3610979671879633</v>
      </c>
      <c r="O69" t="s">
        <v>464</v>
      </c>
      <c r="P69">
        <v>1</v>
      </c>
      <c r="Q69" s="22" t="s">
        <v>1566</v>
      </c>
      <c r="S69" t="s">
        <v>1557</v>
      </c>
    </row>
    <row r="70" spans="1:19" x14ac:dyDescent="0.4">
      <c r="A70" t="s">
        <v>1471</v>
      </c>
      <c r="B70" s="24">
        <v>1982</v>
      </c>
      <c r="C70" s="24">
        <v>3</v>
      </c>
      <c r="D70" s="24">
        <v>28</v>
      </c>
      <c r="E70" s="24">
        <v>21</v>
      </c>
      <c r="F70" s="24">
        <v>28</v>
      </c>
      <c r="G70" s="20">
        <f t="shared" si="3"/>
        <v>386198880.00000012</v>
      </c>
      <c r="H70" s="24">
        <v>1</v>
      </c>
      <c r="J70" t="s">
        <v>656</v>
      </c>
      <c r="K70" s="22" t="str">
        <f t="shared" ref="K70" si="29">IF(H70="",IF(I70="","point","middle"),"span")</f>
        <v>span</v>
      </c>
      <c r="M70" s="23">
        <f t="shared" si="12"/>
        <v>-8.1166666666335523</v>
      </c>
      <c r="N70" s="23">
        <f t="shared" ref="N70:N71" si="30">IF(M70=0,0, IF(M70&gt;0,LOG10(M70), -LOG10(-1*M70)))</f>
        <v>-0.90937771082921881</v>
      </c>
      <c r="O70" t="s">
        <v>464</v>
      </c>
      <c r="P70">
        <v>0</v>
      </c>
      <c r="Q70" t="s">
        <v>1567</v>
      </c>
      <c r="S70" t="s">
        <v>1557</v>
      </c>
    </row>
    <row r="71" spans="1:19" x14ac:dyDescent="0.4">
      <c r="A71" t="s">
        <v>1471</v>
      </c>
      <c r="B71" s="24">
        <v>1982</v>
      </c>
      <c r="C71" s="24">
        <v>3</v>
      </c>
      <c r="D71" s="24">
        <v>28</v>
      </c>
      <c r="E71" s="24">
        <v>22</v>
      </c>
      <c r="F71" s="24">
        <v>28</v>
      </c>
      <c r="G71" s="20">
        <f t="shared" si="3"/>
        <v>386202479.99999994</v>
      </c>
      <c r="H71" s="39">
        <f>92/60</f>
        <v>1.5333333333333334</v>
      </c>
      <c r="J71" t="s">
        <v>656</v>
      </c>
      <c r="K71" s="22" t="str">
        <f t="shared" ref="K71" si="31">IF(H71="",IF(I71="","point","middle"),"span")</f>
        <v>span</v>
      </c>
      <c r="M71" s="23">
        <f t="shared" si="12"/>
        <v>-7.1166666666832237</v>
      </c>
      <c r="N71" s="23">
        <f t="shared" si="30"/>
        <v>-0.85227662464239062</v>
      </c>
      <c r="O71" t="s">
        <v>464</v>
      </c>
      <c r="P71">
        <v>2</v>
      </c>
      <c r="Q71" s="22" t="s">
        <v>1568</v>
      </c>
      <c r="S71" t="s">
        <v>1557</v>
      </c>
    </row>
    <row r="72" spans="1:19" x14ac:dyDescent="0.4">
      <c r="A72" t="s">
        <v>1471</v>
      </c>
      <c r="B72" s="24">
        <v>1982</v>
      </c>
      <c r="C72" s="24">
        <v>3</v>
      </c>
      <c r="D72" s="24">
        <v>28</v>
      </c>
      <c r="E72" s="24">
        <v>23</v>
      </c>
      <c r="F72" s="24">
        <v>15</v>
      </c>
      <c r="G72" s="20">
        <f t="shared" si="3"/>
        <v>386205300</v>
      </c>
      <c r="J72" t="s">
        <v>656</v>
      </c>
      <c r="K72" s="22" t="str">
        <f t="shared" si="0"/>
        <v>point</v>
      </c>
      <c r="L72" s="20" t="s">
        <v>670</v>
      </c>
      <c r="M72" s="23">
        <f t="shared" si="12"/>
        <v>-6.333333333333333</v>
      </c>
      <c r="N72" s="23">
        <f t="shared" si="2"/>
        <v>-0.80163234623316648</v>
      </c>
      <c r="O72" t="s">
        <v>510</v>
      </c>
      <c r="P72">
        <v>4</v>
      </c>
      <c r="Q72" t="s">
        <v>482</v>
      </c>
      <c r="S72" t="s">
        <v>1529</v>
      </c>
    </row>
    <row r="73" spans="1:19" x14ac:dyDescent="0.4">
      <c r="A73" t="s">
        <v>1471</v>
      </c>
      <c r="B73" s="24">
        <v>1982</v>
      </c>
      <c r="C73" s="24">
        <v>3</v>
      </c>
      <c r="D73" s="24">
        <v>28</v>
      </c>
      <c r="E73" s="24">
        <v>23</v>
      </c>
      <c r="F73" s="24">
        <v>32</v>
      </c>
      <c r="G73" s="20">
        <f t="shared" si="3"/>
        <v>386206319.99999988</v>
      </c>
      <c r="H73" s="20">
        <v>5</v>
      </c>
      <c r="J73" t="s">
        <v>656</v>
      </c>
      <c r="K73" s="22" t="str">
        <f t="shared" si="0"/>
        <v>span</v>
      </c>
      <c r="M73" s="23">
        <f t="shared" ref="M73:M80" si="32">(G73-386228100)/3600</f>
        <v>-6.0500000000331138</v>
      </c>
      <c r="N73" s="23">
        <f t="shared" si="2"/>
        <v>-0.7817553746548459</v>
      </c>
      <c r="O73" t="s">
        <v>510</v>
      </c>
      <c r="P73">
        <v>6</v>
      </c>
      <c r="Q73" t="s">
        <v>1554</v>
      </c>
      <c r="S73" t="s">
        <v>1553</v>
      </c>
    </row>
    <row r="74" spans="1:19" x14ac:dyDescent="0.4">
      <c r="A74" t="s">
        <v>1471</v>
      </c>
      <c r="B74" s="24">
        <v>1982</v>
      </c>
      <c r="C74" s="24">
        <v>3</v>
      </c>
      <c r="D74" s="24">
        <v>29</v>
      </c>
      <c r="E74" s="24">
        <v>1</v>
      </c>
      <c r="F74" s="24">
        <v>46</v>
      </c>
      <c r="G74" s="20">
        <f t="shared" si="3"/>
        <v>386214360</v>
      </c>
      <c r="J74" t="s">
        <v>656</v>
      </c>
      <c r="K74" s="22" t="str">
        <f t="shared" ref="K74" si="33">IF(H74="",IF(I74="","point","middle"),"span")</f>
        <v>point</v>
      </c>
      <c r="M74" s="23">
        <f t="shared" si="32"/>
        <v>-3.8166666666666669</v>
      </c>
      <c r="N74" s="23">
        <f t="shared" si="2"/>
        <v>-0.58168423195624441</v>
      </c>
      <c r="O74" t="s">
        <v>464</v>
      </c>
      <c r="P74">
        <v>1</v>
      </c>
      <c r="Q74" t="s">
        <v>1569</v>
      </c>
      <c r="S74" t="s">
        <v>1557</v>
      </c>
    </row>
    <row r="75" spans="1:19" x14ac:dyDescent="0.4">
      <c r="A75" t="s">
        <v>1471</v>
      </c>
      <c r="B75" s="24">
        <v>1982</v>
      </c>
      <c r="C75" s="24">
        <v>3</v>
      </c>
      <c r="D75" s="24">
        <v>29</v>
      </c>
      <c r="E75" s="24">
        <v>2</v>
      </c>
      <c r="F75" s="24">
        <v>30</v>
      </c>
      <c r="G75" s="20">
        <f t="shared" si="3"/>
        <v>386217000.00000012</v>
      </c>
      <c r="J75" t="s">
        <v>656</v>
      </c>
      <c r="K75" s="22" t="str">
        <f t="shared" si="0"/>
        <v>point</v>
      </c>
      <c r="M75" s="23">
        <f t="shared" si="32"/>
        <v>-3.0833333333002195</v>
      </c>
      <c r="N75" s="23">
        <f t="shared" si="2"/>
        <v>-0.48902047801470599</v>
      </c>
      <c r="O75" t="s">
        <v>462</v>
      </c>
      <c r="P75">
        <v>6</v>
      </c>
      <c r="Q75" t="s">
        <v>1536</v>
      </c>
      <c r="S75" t="s">
        <v>1537</v>
      </c>
    </row>
    <row r="76" spans="1:19" x14ac:dyDescent="0.4">
      <c r="A76" t="s">
        <v>1471</v>
      </c>
      <c r="B76" s="24">
        <v>1982</v>
      </c>
      <c r="C76" s="24">
        <v>3</v>
      </c>
      <c r="D76" s="24">
        <v>29</v>
      </c>
      <c r="E76" s="24">
        <v>3</v>
      </c>
      <c r="F76" s="24">
        <v>0</v>
      </c>
      <c r="G76" s="20">
        <f t="shared" si="3"/>
        <v>386218800</v>
      </c>
      <c r="J76" t="s">
        <v>656</v>
      </c>
      <c r="K76" s="22" t="str">
        <f t="shared" ref="K76:K79" si="34">IF(H76="",IF(I76="","point","middle"),"span")</f>
        <v>point</v>
      </c>
      <c r="M76" s="23">
        <f t="shared" si="32"/>
        <v>-2.5833333333333335</v>
      </c>
      <c r="N76" s="23">
        <f t="shared" si="2"/>
        <v>-0.41218044778664786</v>
      </c>
      <c r="O76" t="s">
        <v>462</v>
      </c>
      <c r="P76">
        <v>4</v>
      </c>
      <c r="Q76" t="s">
        <v>1538</v>
      </c>
      <c r="S76" t="s">
        <v>1537</v>
      </c>
    </row>
    <row r="77" spans="1:19" x14ac:dyDescent="0.4">
      <c r="A77" t="s">
        <v>1471</v>
      </c>
      <c r="B77" s="24">
        <v>1982</v>
      </c>
      <c r="C77" s="24">
        <v>3</v>
      </c>
      <c r="D77" s="24">
        <v>29</v>
      </c>
      <c r="E77" s="24">
        <v>15</v>
      </c>
      <c r="F77" s="24">
        <v>0</v>
      </c>
      <c r="G77" s="20">
        <f t="shared" si="3"/>
        <v>386262000</v>
      </c>
      <c r="J77" t="s">
        <v>656</v>
      </c>
      <c r="K77" s="22" t="str">
        <f t="shared" si="34"/>
        <v>point</v>
      </c>
      <c r="M77" s="23">
        <f t="shared" si="32"/>
        <v>9.4166666666666661</v>
      </c>
      <c r="N77" s="23">
        <f t="shared" si="2"/>
        <v>0.97389719743579484</v>
      </c>
      <c r="O77" t="s">
        <v>462</v>
      </c>
      <c r="P77">
        <v>4</v>
      </c>
      <c r="Q77" t="s">
        <v>1539</v>
      </c>
      <c r="S77" t="s">
        <v>1537</v>
      </c>
    </row>
    <row r="78" spans="1:19" x14ac:dyDescent="0.4">
      <c r="A78" t="s">
        <v>1471</v>
      </c>
      <c r="B78" s="24">
        <v>1982</v>
      </c>
      <c r="C78" s="24">
        <v>3</v>
      </c>
      <c r="D78" s="24">
        <v>30</v>
      </c>
      <c r="E78" s="24">
        <v>0</v>
      </c>
      <c r="F78" s="24">
        <v>0</v>
      </c>
      <c r="G78" s="20">
        <f t="shared" si="3"/>
        <v>386294400</v>
      </c>
      <c r="J78" t="s">
        <v>656</v>
      </c>
      <c r="K78" s="22" t="str">
        <f t="shared" si="34"/>
        <v>point</v>
      </c>
      <c r="M78" s="23">
        <f t="shared" si="32"/>
        <v>18.416666666666668</v>
      </c>
      <c r="N78" s="23">
        <f t="shared" si="2"/>
        <v>1.2652110276374859</v>
      </c>
      <c r="O78" t="s">
        <v>464</v>
      </c>
      <c r="P78">
        <v>0</v>
      </c>
      <c r="Q78" t="s">
        <v>1548</v>
      </c>
      <c r="S78" t="s">
        <v>1547</v>
      </c>
    </row>
    <row r="79" spans="1:19" x14ac:dyDescent="0.4">
      <c r="A79" t="s">
        <v>1471</v>
      </c>
      <c r="B79" s="24">
        <v>1982</v>
      </c>
      <c r="C79" s="24">
        <v>3</v>
      </c>
      <c r="D79" s="24">
        <v>30</v>
      </c>
      <c r="E79" s="24">
        <v>7</v>
      </c>
      <c r="F79" s="24">
        <v>15</v>
      </c>
      <c r="G79" s="20">
        <f t="shared" si="3"/>
        <v>386320499.99999988</v>
      </c>
      <c r="J79" t="s">
        <v>656</v>
      </c>
      <c r="K79" s="22" t="str">
        <f t="shared" si="34"/>
        <v>point</v>
      </c>
      <c r="M79" s="23">
        <f t="shared" si="32"/>
        <v>25.666666666633553</v>
      </c>
      <c r="N79" s="23">
        <f t="shared" si="2"/>
        <v>1.4093694704522592</v>
      </c>
      <c r="O79" t="s">
        <v>464</v>
      </c>
      <c r="P79">
        <v>2</v>
      </c>
      <c r="Q79" t="s">
        <v>1549</v>
      </c>
      <c r="S79" t="s">
        <v>1547</v>
      </c>
    </row>
    <row r="80" spans="1:19" x14ac:dyDescent="0.4">
      <c r="A80" t="s">
        <v>1471</v>
      </c>
      <c r="B80" s="24">
        <v>1982</v>
      </c>
      <c r="C80" s="24">
        <v>3</v>
      </c>
      <c r="D80" s="24">
        <v>30</v>
      </c>
      <c r="E80" s="24">
        <v>7</v>
      </c>
      <c r="F80" s="24">
        <v>15</v>
      </c>
      <c r="G80" s="20">
        <f t="shared" si="3"/>
        <v>386320499.99999988</v>
      </c>
      <c r="J80" t="s">
        <v>656</v>
      </c>
      <c r="K80" s="22" t="str">
        <f t="shared" ref="K80" si="35">IF(H80="",IF(I80="","point","middle"),"span")</f>
        <v>point</v>
      </c>
      <c r="M80" s="23">
        <f t="shared" si="32"/>
        <v>25.666666666633553</v>
      </c>
      <c r="N80" s="23">
        <f t="shared" ref="N80" si="36">IF(M80=0,0, IF(M80&gt;0,LOG10(M80), -LOG10(-1*M80)))</f>
        <v>1.4093694704522592</v>
      </c>
      <c r="O80" t="s">
        <v>464</v>
      </c>
      <c r="P80">
        <v>2</v>
      </c>
      <c r="Q80" t="s">
        <v>1574</v>
      </c>
      <c r="S80" t="s">
        <v>1557</v>
      </c>
    </row>
    <row r="81" spans="1:19" x14ac:dyDescent="0.4">
      <c r="A81" t="s">
        <v>1471</v>
      </c>
      <c r="B81" s="24">
        <v>1982</v>
      </c>
      <c r="C81" s="24">
        <v>3</v>
      </c>
      <c r="D81" s="24">
        <v>30</v>
      </c>
      <c r="E81" s="24">
        <v>9</v>
      </c>
      <c r="F81" s="24">
        <v>0</v>
      </c>
      <c r="G81" s="20">
        <f t="shared" si="3"/>
        <v>386326800</v>
      </c>
      <c r="J81" t="s">
        <v>656</v>
      </c>
      <c r="K81" s="22" t="str">
        <f t="shared" si="0"/>
        <v>point</v>
      </c>
      <c r="M81" s="23">
        <f t="shared" ref="M81:M114" si="37">(G81-386228100)/3600</f>
        <v>27.416666666666668</v>
      </c>
      <c r="N81" s="23">
        <f t="shared" si="2"/>
        <v>1.4380146519023496</v>
      </c>
      <c r="O81" t="s">
        <v>510</v>
      </c>
      <c r="P81">
        <v>4</v>
      </c>
      <c r="Q81" t="s">
        <v>1522</v>
      </c>
      <c r="S81" t="s">
        <v>1529</v>
      </c>
    </row>
    <row r="82" spans="1:19" x14ac:dyDescent="0.4">
      <c r="A82" t="s">
        <v>1471</v>
      </c>
      <c r="B82" s="24">
        <v>1982</v>
      </c>
      <c r="C82" s="24">
        <v>3</v>
      </c>
      <c r="D82" s="24">
        <v>30</v>
      </c>
      <c r="E82" s="24">
        <v>15</v>
      </c>
      <c r="F82" s="24">
        <v>0</v>
      </c>
      <c r="G82" s="20">
        <f t="shared" si="3"/>
        <v>386348400</v>
      </c>
      <c r="J82" t="s">
        <v>656</v>
      </c>
      <c r="K82" s="22" t="str">
        <f t="shared" si="0"/>
        <v>point</v>
      </c>
      <c r="M82" s="23">
        <f t="shared" si="37"/>
        <v>33.416666666666664</v>
      </c>
      <c r="N82" s="23">
        <f t="shared" si="2"/>
        <v>1.5239631265725575</v>
      </c>
      <c r="O82" t="s">
        <v>510</v>
      </c>
      <c r="P82">
        <v>4</v>
      </c>
      <c r="Q82" t="s">
        <v>1523</v>
      </c>
      <c r="S82" t="s">
        <v>1529</v>
      </c>
    </row>
    <row r="83" spans="1:19" x14ac:dyDescent="0.4">
      <c r="A83" t="s">
        <v>1471</v>
      </c>
      <c r="B83" s="24">
        <v>1982</v>
      </c>
      <c r="C83" s="24">
        <v>3</v>
      </c>
      <c r="D83" s="24">
        <v>31</v>
      </c>
      <c r="E83" s="24">
        <v>7</v>
      </c>
      <c r="F83" s="24">
        <v>0</v>
      </c>
      <c r="G83" s="20">
        <f t="shared" si="3"/>
        <v>386406000.00000012</v>
      </c>
      <c r="H83" s="24">
        <v>20</v>
      </c>
      <c r="J83" t="s">
        <v>656</v>
      </c>
      <c r="K83" s="22" t="str">
        <f t="shared" ref="K83" si="38">IF(H83="",IF(I83="","point","middle"),"span")</f>
        <v>span</v>
      </c>
      <c r="M83" s="23">
        <f t="shared" si="37"/>
        <v>49.416666666699783</v>
      </c>
      <c r="N83" s="23">
        <f t="shared" si="2"/>
        <v>1.6938734473169288</v>
      </c>
      <c r="O83" t="s">
        <v>464</v>
      </c>
      <c r="P83">
        <v>2</v>
      </c>
      <c r="Q83" t="s">
        <v>1533</v>
      </c>
      <c r="S83" t="s">
        <v>1530</v>
      </c>
    </row>
    <row r="84" spans="1:19" x14ac:dyDescent="0.4">
      <c r="A84" t="s">
        <v>1471</v>
      </c>
      <c r="B84" s="24">
        <v>1982</v>
      </c>
      <c r="C84" s="24">
        <v>3</v>
      </c>
      <c r="D84" s="24">
        <v>31</v>
      </c>
      <c r="E84" s="24">
        <v>7</v>
      </c>
      <c r="F84" s="24">
        <v>40</v>
      </c>
      <c r="G84" s="20">
        <f t="shared" si="3"/>
        <v>386408400.00000006</v>
      </c>
      <c r="H84" s="24">
        <f>140/60</f>
        <v>2.3333333333333335</v>
      </c>
      <c r="J84" t="s">
        <v>656</v>
      </c>
      <c r="K84" s="22" t="str">
        <f t="shared" ref="K84" si="39">IF(H84="",IF(I84="","point","middle"),"span")</f>
        <v>span</v>
      </c>
      <c r="M84" s="23">
        <f t="shared" si="37"/>
        <v>50.083333333349891</v>
      </c>
      <c r="N84" s="23">
        <f t="shared" si="2"/>
        <v>1.6996932259552582</v>
      </c>
      <c r="O84" t="s">
        <v>464</v>
      </c>
      <c r="P84">
        <v>2</v>
      </c>
      <c r="Q84" t="s">
        <v>1574</v>
      </c>
      <c r="S84" t="s">
        <v>1557</v>
      </c>
    </row>
    <row r="85" spans="1:19" x14ac:dyDescent="0.4">
      <c r="A85" t="s">
        <v>1471</v>
      </c>
      <c r="B85" s="24">
        <v>1982</v>
      </c>
      <c r="C85" s="24">
        <v>3</v>
      </c>
      <c r="D85" s="24">
        <v>31</v>
      </c>
      <c r="E85" s="24">
        <v>13</v>
      </c>
      <c r="F85" s="24">
        <v>30</v>
      </c>
      <c r="G85" s="20">
        <f t="shared" si="3"/>
        <v>386429400</v>
      </c>
      <c r="J85" t="s">
        <v>656</v>
      </c>
      <c r="K85" s="22" t="str">
        <f t="shared" si="0"/>
        <v>point</v>
      </c>
      <c r="M85" s="23">
        <f t="shared" si="37"/>
        <v>55.916666666666664</v>
      </c>
      <c r="N85" s="23">
        <f t="shared" si="2"/>
        <v>1.7475412741213672</v>
      </c>
      <c r="O85" t="s">
        <v>510</v>
      </c>
      <c r="P85">
        <v>4</v>
      </c>
      <c r="Q85" t="s">
        <v>1524</v>
      </c>
      <c r="S85" t="s">
        <v>1529</v>
      </c>
    </row>
    <row r="86" spans="1:19" x14ac:dyDescent="0.4">
      <c r="A86" t="s">
        <v>1471</v>
      </c>
      <c r="B86" s="24">
        <v>1982</v>
      </c>
      <c r="C86" s="24">
        <v>4</v>
      </c>
      <c r="D86" s="24">
        <v>1</v>
      </c>
      <c r="E86" s="24">
        <v>7</v>
      </c>
      <c r="F86" s="24">
        <v>40</v>
      </c>
      <c r="G86" s="20">
        <f t="shared" si="3"/>
        <v>386494800.00000006</v>
      </c>
      <c r="H86" s="20">
        <f>140/60</f>
        <v>2.3333333333333335</v>
      </c>
      <c r="J86" t="s">
        <v>656</v>
      </c>
      <c r="K86" s="22" t="str">
        <f t="shared" ref="K86" si="40">IF(H86="",IF(I86="","point","middle"),"span")</f>
        <v>span</v>
      </c>
      <c r="M86" s="23">
        <f t="shared" si="37"/>
        <v>74.083333333349884</v>
      </c>
      <c r="N86" s="23">
        <f t="shared" si="2"/>
        <v>1.8697205149226859</v>
      </c>
      <c r="O86" t="s">
        <v>464</v>
      </c>
      <c r="P86">
        <v>1</v>
      </c>
      <c r="Q86" t="s">
        <v>1577</v>
      </c>
      <c r="S86" t="s">
        <v>1557</v>
      </c>
    </row>
    <row r="87" spans="1:19" x14ac:dyDescent="0.4">
      <c r="A87" t="s">
        <v>1471</v>
      </c>
      <c r="B87" s="24">
        <v>1982</v>
      </c>
      <c r="C87" s="24">
        <v>4</v>
      </c>
      <c r="D87" s="24">
        <v>2</v>
      </c>
      <c r="E87" s="24">
        <v>6</v>
      </c>
      <c r="G87" s="20">
        <f t="shared" si="3"/>
        <v>386575200</v>
      </c>
      <c r="J87" t="s">
        <v>656</v>
      </c>
      <c r="K87" s="22" t="str">
        <f t="shared" ref="K87" si="41">IF(H87="",IF(I87="","point","middle"),"span")</f>
        <v>point</v>
      </c>
      <c r="M87" s="23">
        <f t="shared" si="37"/>
        <v>96.416666666666671</v>
      </c>
      <c r="N87" s="23">
        <f t="shared" si="2"/>
        <v>1.9841521129041249</v>
      </c>
      <c r="O87" t="s">
        <v>464</v>
      </c>
      <c r="P87">
        <v>2</v>
      </c>
      <c r="Q87" t="s">
        <v>1535</v>
      </c>
      <c r="S87" t="s">
        <v>1530</v>
      </c>
    </row>
    <row r="88" spans="1:19" x14ac:dyDescent="0.4">
      <c r="A88" t="s">
        <v>1471</v>
      </c>
      <c r="B88" s="24">
        <v>1982</v>
      </c>
      <c r="C88" s="24">
        <v>4</v>
      </c>
      <c r="D88" s="24">
        <v>2</v>
      </c>
      <c r="E88" s="24">
        <v>7</v>
      </c>
      <c r="F88" s="24">
        <v>39</v>
      </c>
      <c r="G88" s="20">
        <f t="shared" si="3"/>
        <v>386581139.99999988</v>
      </c>
      <c r="H88" s="20">
        <f>140/60</f>
        <v>2.3333333333333335</v>
      </c>
      <c r="J88" t="s">
        <v>656</v>
      </c>
      <c r="K88" s="22" t="str">
        <f t="shared" ref="K88" si="42">IF(H88="",IF(I88="","point","middle"),"span")</f>
        <v>span</v>
      </c>
      <c r="M88" s="23">
        <f t="shared" si="37"/>
        <v>98.066666666633552</v>
      </c>
      <c r="N88" s="23">
        <f t="shared" si="2"/>
        <v>1.9915214136717023</v>
      </c>
      <c r="O88" t="s">
        <v>464</v>
      </c>
      <c r="P88">
        <v>1</v>
      </c>
      <c r="Q88" t="s">
        <v>1577</v>
      </c>
      <c r="S88" t="s">
        <v>1557</v>
      </c>
    </row>
    <row r="89" spans="1:19" x14ac:dyDescent="0.4">
      <c r="A89" t="s">
        <v>1471</v>
      </c>
      <c r="B89" s="24">
        <v>1982</v>
      </c>
      <c r="C89" s="24">
        <v>4</v>
      </c>
      <c r="D89" s="24">
        <v>2</v>
      </c>
      <c r="E89" s="24">
        <v>11</v>
      </c>
      <c r="F89" s="24">
        <v>0</v>
      </c>
      <c r="G89" s="20">
        <f t="shared" si="3"/>
        <v>386593199.99999988</v>
      </c>
      <c r="J89" t="s">
        <v>656</v>
      </c>
      <c r="K89" s="22" t="str">
        <f t="shared" si="0"/>
        <v>point</v>
      </c>
      <c r="M89" s="23">
        <f t="shared" si="37"/>
        <v>101.41666666663355</v>
      </c>
      <c r="N89" s="23">
        <f t="shared" si="2"/>
        <v>2.0061093321822985</v>
      </c>
      <c r="O89" t="s">
        <v>510</v>
      </c>
      <c r="P89">
        <v>4</v>
      </c>
      <c r="Q89" t="s">
        <v>1525</v>
      </c>
      <c r="S89" t="s">
        <v>1529</v>
      </c>
    </row>
    <row r="90" spans="1:19" x14ac:dyDescent="0.4">
      <c r="A90" t="s">
        <v>1471</v>
      </c>
      <c r="B90" s="24">
        <v>1982</v>
      </c>
      <c r="C90" s="24">
        <v>4</v>
      </c>
      <c r="D90" s="24">
        <v>2</v>
      </c>
      <c r="E90" s="24">
        <v>18</v>
      </c>
      <c r="F90" s="24">
        <v>0</v>
      </c>
      <c r="G90" s="20">
        <f t="shared" si="3"/>
        <v>386618400</v>
      </c>
      <c r="H90" s="39">
        <v>0.5</v>
      </c>
      <c r="J90" t="s">
        <v>656</v>
      </c>
      <c r="K90" s="22" t="str">
        <f t="shared" ref="K90" si="43">IF(H90="",IF(I90="","point","middle"),"span")</f>
        <v>span</v>
      </c>
      <c r="M90" s="23">
        <f t="shared" si="37"/>
        <v>108.41666666666667</v>
      </c>
      <c r="N90" s="23">
        <f t="shared" si="2"/>
        <v>2.0350960505139613</v>
      </c>
      <c r="O90" t="s">
        <v>462</v>
      </c>
      <c r="P90">
        <v>4</v>
      </c>
      <c r="Q90" t="s">
        <v>1526</v>
      </c>
      <c r="S90" t="s">
        <v>1529</v>
      </c>
    </row>
    <row r="91" spans="1:19" x14ac:dyDescent="0.4">
      <c r="A91" t="s">
        <v>1471</v>
      </c>
      <c r="B91" s="24">
        <v>1982</v>
      </c>
      <c r="C91" s="24">
        <v>4</v>
      </c>
      <c r="D91" s="24">
        <v>2</v>
      </c>
      <c r="E91" s="24">
        <v>18</v>
      </c>
      <c r="F91" s="24">
        <v>0</v>
      </c>
      <c r="G91" s="20">
        <f t="shared" si="3"/>
        <v>386618400</v>
      </c>
      <c r="H91" s="39">
        <v>48</v>
      </c>
      <c r="J91" t="s">
        <v>656</v>
      </c>
      <c r="K91" s="22" t="str">
        <f t="shared" ref="K91" si="44">IF(H91="",IF(I91="","point","middle"),"span")</f>
        <v>span</v>
      </c>
      <c r="M91" s="23">
        <f t="shared" si="37"/>
        <v>108.41666666666667</v>
      </c>
      <c r="N91" s="23">
        <f t="shared" si="2"/>
        <v>2.0350960505139613</v>
      </c>
      <c r="O91" t="s">
        <v>464</v>
      </c>
      <c r="P91">
        <v>2</v>
      </c>
      <c r="Q91" t="s">
        <v>1534</v>
      </c>
      <c r="S91" t="s">
        <v>1530</v>
      </c>
    </row>
    <row r="92" spans="1:19" x14ac:dyDescent="0.4">
      <c r="A92" t="s">
        <v>1471</v>
      </c>
      <c r="B92" s="24">
        <v>1982</v>
      </c>
      <c r="C92" s="24">
        <v>4</v>
      </c>
      <c r="D92" s="24">
        <v>3</v>
      </c>
      <c r="E92" s="24">
        <v>2</v>
      </c>
      <c r="F92" s="24">
        <v>30</v>
      </c>
      <c r="G92" s="20">
        <f t="shared" si="3"/>
        <v>386649000.00000012</v>
      </c>
      <c r="H92" s="39">
        <v>0.5</v>
      </c>
      <c r="J92" t="s">
        <v>656</v>
      </c>
      <c r="K92" s="22" t="str">
        <f t="shared" si="0"/>
        <v>span</v>
      </c>
      <c r="M92" s="23">
        <f t="shared" si="37"/>
        <v>116.91666666669978</v>
      </c>
      <c r="N92" s="23">
        <f t="shared" si="2"/>
        <v>2.0678764249808581</v>
      </c>
      <c r="O92" t="s">
        <v>510</v>
      </c>
      <c r="P92">
        <v>5</v>
      </c>
      <c r="Q92" t="s">
        <v>1527</v>
      </c>
      <c r="S92" t="s">
        <v>1529</v>
      </c>
    </row>
    <row r="93" spans="1:19" x14ac:dyDescent="0.4">
      <c r="A93" t="s">
        <v>1471</v>
      </c>
      <c r="B93" s="24">
        <v>1982</v>
      </c>
      <c r="C93" s="24">
        <v>4</v>
      </c>
      <c r="D93" s="24">
        <v>3</v>
      </c>
      <c r="E93" s="24">
        <v>2</v>
      </c>
      <c r="F93" s="24">
        <v>32</v>
      </c>
      <c r="G93" s="20">
        <f t="shared" si="3"/>
        <v>386649119.99999988</v>
      </c>
      <c r="H93" s="39">
        <f>43/60</f>
        <v>0.71666666666666667</v>
      </c>
      <c r="J93" t="s">
        <v>656</v>
      </c>
      <c r="K93" s="22" t="str">
        <f t="shared" ref="K93:K95" si="45">IF(H93="",IF(I93="","point","middle"),"span")</f>
        <v>span</v>
      </c>
      <c r="M93" s="23">
        <f t="shared" si="37"/>
        <v>116.94999999996689</v>
      </c>
      <c r="N93" s="23">
        <f t="shared" si="2"/>
        <v>2.068000226145049</v>
      </c>
      <c r="O93" t="s">
        <v>464</v>
      </c>
      <c r="P93">
        <v>2</v>
      </c>
      <c r="Q93" t="s">
        <v>1578</v>
      </c>
      <c r="S93" t="s">
        <v>1557</v>
      </c>
    </row>
    <row r="94" spans="1:19" x14ac:dyDescent="0.4">
      <c r="A94" t="s">
        <v>1471</v>
      </c>
      <c r="B94" s="24">
        <v>1982</v>
      </c>
      <c r="C94" s="24">
        <v>4</v>
      </c>
      <c r="D94" s="24">
        <v>3</v>
      </c>
      <c r="E94" s="24">
        <v>3</v>
      </c>
      <c r="F94" s="24">
        <v>15</v>
      </c>
      <c r="G94" s="20">
        <f t="shared" si="3"/>
        <v>386651700.00000012</v>
      </c>
      <c r="H94" s="39">
        <f>21/60</f>
        <v>0.35</v>
      </c>
      <c r="J94" t="s">
        <v>656</v>
      </c>
      <c r="K94" s="22" t="str">
        <f t="shared" si="45"/>
        <v>span</v>
      </c>
      <c r="M94" s="23">
        <f t="shared" si="37"/>
        <v>117.66666666669978</v>
      </c>
      <c r="N94" s="23">
        <f t="shared" si="2"/>
        <v>2.0706534506682823</v>
      </c>
      <c r="O94" t="s">
        <v>464</v>
      </c>
      <c r="P94">
        <v>0</v>
      </c>
      <c r="Q94" t="s">
        <v>1570</v>
      </c>
      <c r="S94" t="s">
        <v>1557</v>
      </c>
    </row>
    <row r="95" spans="1:19" x14ac:dyDescent="0.4">
      <c r="A95" t="s">
        <v>1471</v>
      </c>
      <c r="B95" s="24">
        <v>1982</v>
      </c>
      <c r="C95" s="24">
        <v>4</v>
      </c>
      <c r="D95" s="24">
        <v>3</v>
      </c>
      <c r="E95" s="24">
        <v>3</v>
      </c>
      <c r="F95" s="24">
        <v>36</v>
      </c>
      <c r="G95" s="20">
        <f t="shared" si="3"/>
        <v>386652960.00000012</v>
      </c>
      <c r="H95" s="39">
        <f>69/60</f>
        <v>1.1499999999999999</v>
      </c>
      <c r="J95" t="s">
        <v>656</v>
      </c>
      <c r="K95" s="22" t="str">
        <f t="shared" si="45"/>
        <v>span</v>
      </c>
      <c r="M95" s="23">
        <f t="shared" si="37"/>
        <v>118.01666666669978</v>
      </c>
      <c r="N95" s="23">
        <f t="shared" si="2"/>
        <v>2.0719433440031789</v>
      </c>
      <c r="O95" t="s">
        <v>464</v>
      </c>
      <c r="P95">
        <v>2</v>
      </c>
      <c r="Q95" t="s">
        <v>1571</v>
      </c>
      <c r="S95" t="s">
        <v>1557</v>
      </c>
    </row>
    <row r="96" spans="1:19" x14ac:dyDescent="0.4">
      <c r="A96" t="s">
        <v>1471</v>
      </c>
      <c r="B96" s="24">
        <v>1982</v>
      </c>
      <c r="C96" s="24">
        <v>4</v>
      </c>
      <c r="D96" s="24">
        <v>3</v>
      </c>
      <c r="E96" s="24">
        <v>4</v>
      </c>
      <c r="F96" s="24">
        <v>0</v>
      </c>
      <c r="G96" s="20">
        <f t="shared" si="3"/>
        <v>386654400.00000012</v>
      </c>
      <c r="H96" s="39"/>
      <c r="J96" t="s">
        <v>656</v>
      </c>
      <c r="K96" s="22" t="str">
        <f t="shared" ref="K96" si="46">IF(H96="",IF(I96="","point","middle"),"span")</f>
        <v>point</v>
      </c>
      <c r="M96" s="23">
        <f t="shared" si="37"/>
        <v>118.41666666669978</v>
      </c>
      <c r="N96" s="23">
        <f t="shared" si="2"/>
        <v>2.0734128318799665</v>
      </c>
      <c r="O96" t="s">
        <v>462</v>
      </c>
      <c r="P96">
        <v>5</v>
      </c>
      <c r="Q96" t="s">
        <v>1540</v>
      </c>
      <c r="S96" t="s">
        <v>1537</v>
      </c>
    </row>
    <row r="97" spans="1:19" x14ac:dyDescent="0.4">
      <c r="A97" t="s">
        <v>1471</v>
      </c>
      <c r="B97" s="24">
        <v>1982</v>
      </c>
      <c r="C97" s="24">
        <v>4</v>
      </c>
      <c r="D97" s="24">
        <v>3</v>
      </c>
      <c r="E97" s="24">
        <v>4</v>
      </c>
      <c r="F97" s="24">
        <v>45</v>
      </c>
      <c r="G97" s="20">
        <f t="shared" si="3"/>
        <v>386657100.00000012</v>
      </c>
      <c r="H97" s="39">
        <f>93/60</f>
        <v>1.55</v>
      </c>
      <c r="J97" t="s">
        <v>656</v>
      </c>
      <c r="K97" s="22" t="str">
        <f t="shared" ref="K97" si="47">IF(H97="",IF(I97="","point","middle"),"span")</f>
        <v>span</v>
      </c>
      <c r="M97" s="23">
        <f t="shared" si="37"/>
        <v>119.16666666669978</v>
      </c>
      <c r="N97" s="23">
        <f t="shared" si="2"/>
        <v>2.0761547914175575</v>
      </c>
      <c r="O97" t="s">
        <v>464</v>
      </c>
      <c r="P97">
        <v>0</v>
      </c>
      <c r="Q97" t="s">
        <v>1570</v>
      </c>
      <c r="S97" t="s">
        <v>1557</v>
      </c>
    </row>
    <row r="98" spans="1:19" x14ac:dyDescent="0.4">
      <c r="A98" t="s">
        <v>1471</v>
      </c>
      <c r="B98" s="24">
        <v>1982</v>
      </c>
      <c r="C98" s="24">
        <v>4</v>
      </c>
      <c r="D98" s="24">
        <v>3</v>
      </c>
      <c r="E98" s="24">
        <v>6</v>
      </c>
      <c r="F98" s="24">
        <v>18</v>
      </c>
      <c r="G98" s="20">
        <f t="shared" si="3"/>
        <v>386662680.00000006</v>
      </c>
      <c r="H98" s="39">
        <v>8</v>
      </c>
      <c r="J98" t="s">
        <v>656</v>
      </c>
      <c r="K98" s="22" t="str">
        <f t="shared" ref="K98" si="48">IF(H98="",IF(I98="","point","middle"),"span")</f>
        <v>span</v>
      </c>
      <c r="M98" s="23">
        <f t="shared" si="37"/>
        <v>120.71666666668322</v>
      </c>
      <c r="N98" s="23">
        <f t="shared" si="2"/>
        <v>2.0817672348171317</v>
      </c>
      <c r="O98" t="s">
        <v>464</v>
      </c>
      <c r="P98">
        <v>2</v>
      </c>
      <c r="Q98" t="s">
        <v>1572</v>
      </c>
      <c r="S98" t="s">
        <v>1557</v>
      </c>
    </row>
    <row r="99" spans="1:19" x14ac:dyDescent="0.4">
      <c r="A99" t="s">
        <v>1471</v>
      </c>
      <c r="B99" s="24">
        <v>1982</v>
      </c>
      <c r="C99" s="24">
        <v>4</v>
      </c>
      <c r="D99" s="24">
        <v>3</v>
      </c>
      <c r="E99" s="24">
        <v>9</v>
      </c>
      <c r="F99" s="24">
        <v>0</v>
      </c>
      <c r="G99" s="20">
        <f t="shared" si="3"/>
        <v>386672400</v>
      </c>
      <c r="H99" s="39"/>
      <c r="J99" t="s">
        <v>656</v>
      </c>
      <c r="K99" s="22" t="str">
        <f t="shared" ref="K99" si="49">IF(H99="",IF(I99="","point","middle"),"span")</f>
        <v>point</v>
      </c>
      <c r="M99" s="23">
        <f t="shared" si="37"/>
        <v>123.41666666666667</v>
      </c>
      <c r="N99" s="23">
        <f t="shared" si="2"/>
        <v>2.0913738124735834</v>
      </c>
      <c r="O99" t="s">
        <v>462</v>
      </c>
      <c r="P99">
        <v>4</v>
      </c>
      <c r="Q99" t="s">
        <v>1528</v>
      </c>
      <c r="S99" t="s">
        <v>1529</v>
      </c>
    </row>
    <row r="100" spans="1:19" x14ac:dyDescent="0.4">
      <c r="A100" t="s">
        <v>1471</v>
      </c>
      <c r="B100" s="24">
        <v>1982</v>
      </c>
      <c r="C100" s="24">
        <v>4</v>
      </c>
      <c r="D100" s="24">
        <v>3</v>
      </c>
      <c r="E100" s="24">
        <v>19</v>
      </c>
      <c r="F100" s="24">
        <v>30</v>
      </c>
      <c r="G100" s="20">
        <f t="shared" si="3"/>
        <v>386710200</v>
      </c>
      <c r="H100" s="39">
        <v>0.5</v>
      </c>
      <c r="J100" t="s">
        <v>656</v>
      </c>
      <c r="K100" s="22" t="str">
        <f t="shared" ref="K100" si="50">IF(H100="",IF(I100="","point","middle"),"span")</f>
        <v>span</v>
      </c>
      <c r="M100" s="23">
        <f t="shared" si="37"/>
        <v>133.91666666666666</v>
      </c>
      <c r="N100" s="23">
        <f t="shared" si="2"/>
        <v>2.1268346307157198</v>
      </c>
      <c r="O100" t="s">
        <v>464</v>
      </c>
      <c r="P100">
        <v>2</v>
      </c>
      <c r="Q100" t="s">
        <v>1568</v>
      </c>
      <c r="S100" t="s">
        <v>1557</v>
      </c>
    </row>
    <row r="101" spans="1:19" x14ac:dyDescent="0.4">
      <c r="A101" t="s">
        <v>1471</v>
      </c>
      <c r="B101" s="24">
        <v>1982</v>
      </c>
      <c r="C101" s="24">
        <v>4</v>
      </c>
      <c r="D101" s="24">
        <v>3</v>
      </c>
      <c r="E101" s="24">
        <v>19</v>
      </c>
      <c r="F101" s="24">
        <v>35</v>
      </c>
      <c r="G101" s="20">
        <f t="shared" si="3"/>
        <v>386710500.00000006</v>
      </c>
      <c r="H101" s="39"/>
      <c r="J101" t="s">
        <v>656</v>
      </c>
      <c r="K101" s="22" t="str">
        <f t="shared" ref="K101" si="51">IF(H101="",IF(I101="","point","middle"),"span")</f>
        <v>point</v>
      </c>
      <c r="M101" s="23">
        <f t="shared" si="37"/>
        <v>134.00000000001657</v>
      </c>
      <c r="N101" s="23">
        <f t="shared" ref="N101" si="52">IF(M101=0,0, IF(M101&gt;0,LOG10(M101), -LOG10(-1*M101)))</f>
        <v>2.1271047983648614</v>
      </c>
      <c r="O101" t="s">
        <v>462</v>
      </c>
      <c r="P101">
        <v>4</v>
      </c>
      <c r="Q101" t="s">
        <v>1552</v>
      </c>
      <c r="S101" t="s">
        <v>1547</v>
      </c>
    </row>
    <row r="102" spans="1:19" x14ac:dyDescent="0.4">
      <c r="A102" t="s">
        <v>1471</v>
      </c>
      <c r="B102" s="24">
        <v>1982</v>
      </c>
      <c r="C102" s="24">
        <v>4</v>
      </c>
      <c r="D102" s="24">
        <v>3</v>
      </c>
      <c r="E102" s="24">
        <v>19</v>
      </c>
      <c r="F102" s="24">
        <v>35</v>
      </c>
      <c r="G102" s="20">
        <f t="shared" si="3"/>
        <v>386710500.00000006</v>
      </c>
      <c r="H102" s="20">
        <v>4</v>
      </c>
      <c r="J102" t="s">
        <v>656</v>
      </c>
      <c r="K102" s="22" t="str">
        <f t="shared" si="0"/>
        <v>span</v>
      </c>
      <c r="M102" s="23">
        <f t="shared" si="37"/>
        <v>134.00000000001657</v>
      </c>
      <c r="N102" s="23">
        <f t="shared" si="2"/>
        <v>2.1271047983648614</v>
      </c>
      <c r="O102" t="s">
        <v>510</v>
      </c>
      <c r="P102">
        <v>6</v>
      </c>
      <c r="Q102" t="s">
        <v>1555</v>
      </c>
      <c r="S102" t="s">
        <v>1553</v>
      </c>
    </row>
    <row r="103" spans="1:19" x14ac:dyDescent="0.4">
      <c r="A103" t="s">
        <v>1471</v>
      </c>
      <c r="B103" s="24">
        <v>1982</v>
      </c>
      <c r="C103" s="24">
        <v>4</v>
      </c>
      <c r="D103" s="24">
        <v>3</v>
      </c>
      <c r="E103" s="24">
        <v>19</v>
      </c>
      <c r="F103" s="24">
        <v>55</v>
      </c>
      <c r="G103" s="20">
        <f t="shared" si="3"/>
        <v>386711699.99999988</v>
      </c>
      <c r="J103" t="s">
        <v>656</v>
      </c>
      <c r="K103" s="22" t="str">
        <f t="shared" ref="K103" si="53">IF(H103="",IF(I103="","point","middle"),"span")</f>
        <v>point</v>
      </c>
      <c r="M103" s="23">
        <f t="shared" si="37"/>
        <v>134.33333333330023</v>
      </c>
      <c r="N103" s="23">
        <f t="shared" si="2"/>
        <v>2.12818379142134</v>
      </c>
      <c r="O103" t="s">
        <v>462</v>
      </c>
      <c r="P103">
        <v>4</v>
      </c>
      <c r="Q103" t="s">
        <v>1551</v>
      </c>
      <c r="S103" t="s">
        <v>1547</v>
      </c>
    </row>
    <row r="104" spans="1:19" x14ac:dyDescent="0.4">
      <c r="A104" t="s">
        <v>1471</v>
      </c>
      <c r="B104" s="24">
        <v>1982</v>
      </c>
      <c r="C104" s="24">
        <v>4</v>
      </c>
      <c r="D104" s="24">
        <v>3</v>
      </c>
      <c r="E104" s="24">
        <v>20</v>
      </c>
      <c r="F104" s="24">
        <v>0</v>
      </c>
      <c r="G104" s="20">
        <f t="shared" si="3"/>
        <v>386711999.99999988</v>
      </c>
      <c r="J104" t="s">
        <v>656</v>
      </c>
      <c r="K104" s="22" t="str">
        <f t="shared" ref="K104" si="54">IF(H104="",IF(I104="","point","middle"),"span")</f>
        <v>point</v>
      </c>
      <c r="M104" s="23">
        <f t="shared" si="37"/>
        <v>134.41666666663355</v>
      </c>
      <c r="N104" s="23">
        <f t="shared" si="2"/>
        <v>2.1284531213412299</v>
      </c>
      <c r="O104" t="s">
        <v>462</v>
      </c>
      <c r="P104">
        <v>4</v>
      </c>
      <c r="Q104" t="s">
        <v>1538</v>
      </c>
      <c r="S104" t="s">
        <v>1537</v>
      </c>
    </row>
    <row r="105" spans="1:19" x14ac:dyDescent="0.4">
      <c r="A105" t="s">
        <v>1471</v>
      </c>
      <c r="B105" s="24">
        <v>1982</v>
      </c>
      <c r="C105" s="24">
        <v>4</v>
      </c>
      <c r="D105" s="24">
        <v>3</v>
      </c>
      <c r="E105" s="24">
        <v>20</v>
      </c>
      <c r="F105" s="24">
        <v>0</v>
      </c>
      <c r="G105" s="20">
        <f t="shared" si="3"/>
        <v>386711999.99999988</v>
      </c>
      <c r="J105" t="s">
        <v>656</v>
      </c>
      <c r="K105" s="22" t="str">
        <f t="shared" ref="K105" si="55">IF(H105="",IF(I105="","point","middle"),"span")</f>
        <v>point</v>
      </c>
      <c r="M105" s="23">
        <f t="shared" si="37"/>
        <v>134.41666666663355</v>
      </c>
      <c r="N105" s="23">
        <f t="shared" si="2"/>
        <v>2.1284531213412299</v>
      </c>
      <c r="O105" t="s">
        <v>462</v>
      </c>
      <c r="P105">
        <v>6</v>
      </c>
      <c r="Q105" t="s">
        <v>1541</v>
      </c>
      <c r="S105" t="s">
        <v>1537</v>
      </c>
    </row>
    <row r="106" spans="1:19" x14ac:dyDescent="0.4">
      <c r="A106" t="s">
        <v>1471</v>
      </c>
      <c r="B106" s="24">
        <v>1982</v>
      </c>
      <c r="C106" s="24">
        <v>4</v>
      </c>
      <c r="D106" s="24">
        <v>4</v>
      </c>
      <c r="E106" s="24">
        <v>1</v>
      </c>
      <c r="F106" s="24">
        <v>0</v>
      </c>
      <c r="G106" s="20">
        <f t="shared" si="3"/>
        <v>386730000.00000012</v>
      </c>
      <c r="J106" t="s">
        <v>656</v>
      </c>
      <c r="K106" s="22" t="str">
        <f t="shared" ref="K106" si="56">IF(H106="",IF(I106="","point","middle"),"span")</f>
        <v>point</v>
      </c>
      <c r="M106" s="23">
        <f t="shared" si="37"/>
        <v>139.41666666669977</v>
      </c>
      <c r="N106" s="23">
        <f t="shared" si="2"/>
        <v>2.1443146949148728</v>
      </c>
      <c r="O106" t="s">
        <v>462</v>
      </c>
      <c r="P106">
        <v>4</v>
      </c>
      <c r="Q106" t="s">
        <v>1543</v>
      </c>
      <c r="S106" t="s">
        <v>1537</v>
      </c>
    </row>
    <row r="107" spans="1:19" x14ac:dyDescent="0.4">
      <c r="A107" t="s">
        <v>1471</v>
      </c>
      <c r="B107" s="24">
        <v>1982</v>
      </c>
      <c r="C107" s="24">
        <v>4</v>
      </c>
      <c r="D107" s="24">
        <v>4</v>
      </c>
      <c r="E107" s="24">
        <v>3</v>
      </c>
      <c r="F107" s="24">
        <v>0</v>
      </c>
      <c r="G107" s="20">
        <f t="shared" si="3"/>
        <v>386737200</v>
      </c>
      <c r="H107" s="24">
        <v>4.5</v>
      </c>
      <c r="J107" t="s">
        <v>656</v>
      </c>
      <c r="K107" s="22" t="str">
        <f t="shared" ref="K107" si="57">IF(H107="",IF(I107="","point","middle"),"span")</f>
        <v>span</v>
      </c>
      <c r="M107" s="23">
        <f t="shared" si="37"/>
        <v>141.41666666666666</v>
      </c>
      <c r="N107" s="23">
        <f t="shared" si="2"/>
        <v>2.1505005962700507</v>
      </c>
      <c r="O107" t="s">
        <v>464</v>
      </c>
      <c r="P107">
        <v>2</v>
      </c>
      <c r="Q107" t="s">
        <v>1568</v>
      </c>
      <c r="S107" t="s">
        <v>1557</v>
      </c>
    </row>
    <row r="108" spans="1:19" x14ac:dyDescent="0.4">
      <c r="A108" t="s">
        <v>1471</v>
      </c>
      <c r="B108" s="24">
        <v>1982</v>
      </c>
      <c r="C108" s="24">
        <v>4</v>
      </c>
      <c r="D108" s="24">
        <v>4</v>
      </c>
      <c r="E108" s="24">
        <v>5</v>
      </c>
      <c r="F108" s="24">
        <v>22</v>
      </c>
      <c r="G108" s="20">
        <f t="shared" si="3"/>
        <v>386745720.00000012</v>
      </c>
      <c r="H108" s="20">
        <v>7</v>
      </c>
      <c r="J108" t="s">
        <v>656</v>
      </c>
      <c r="K108" s="22" t="str">
        <f t="shared" si="0"/>
        <v>span</v>
      </c>
      <c r="M108" s="23">
        <f t="shared" si="37"/>
        <v>143.78333333336644</v>
      </c>
      <c r="N108" s="23">
        <f t="shared" si="2"/>
        <v>2.157708547654337</v>
      </c>
      <c r="O108" t="s">
        <v>510</v>
      </c>
      <c r="P108">
        <v>6</v>
      </c>
      <c r="Q108" t="s">
        <v>1556</v>
      </c>
      <c r="S108" t="s">
        <v>1553</v>
      </c>
    </row>
    <row r="109" spans="1:19" x14ac:dyDescent="0.4">
      <c r="A109" t="s">
        <v>1471</v>
      </c>
      <c r="B109" s="24">
        <v>1982</v>
      </c>
      <c r="C109" s="24">
        <v>4</v>
      </c>
      <c r="D109" s="24">
        <v>4</v>
      </c>
      <c r="E109" s="24">
        <v>7</v>
      </c>
      <c r="F109" s="24">
        <v>0</v>
      </c>
      <c r="G109" s="20">
        <f t="shared" si="3"/>
        <v>386751600.00000012</v>
      </c>
      <c r="J109" t="s">
        <v>656</v>
      </c>
      <c r="K109" s="22" t="str">
        <f t="shared" ref="K109" si="58">IF(H109="",IF(I109="","point","middle"),"span")</f>
        <v>point</v>
      </c>
      <c r="M109" s="23">
        <f t="shared" si="37"/>
        <v>145.41666666669977</v>
      </c>
      <c r="N109" s="23">
        <f t="shared" si="2"/>
        <v>2.1626141852476728</v>
      </c>
      <c r="O109" t="s">
        <v>462</v>
      </c>
      <c r="P109">
        <v>4</v>
      </c>
      <c r="Q109" t="s">
        <v>1538</v>
      </c>
      <c r="S109" t="s">
        <v>1537</v>
      </c>
    </row>
    <row r="110" spans="1:19" x14ac:dyDescent="0.4">
      <c r="A110" t="s">
        <v>1471</v>
      </c>
      <c r="B110" s="24">
        <v>1982</v>
      </c>
      <c r="C110" s="24">
        <v>4</v>
      </c>
      <c r="D110" s="24">
        <v>4</v>
      </c>
      <c r="E110" s="24">
        <v>7</v>
      </c>
      <c r="F110" s="24">
        <v>30</v>
      </c>
      <c r="G110" s="20">
        <f t="shared" si="3"/>
        <v>386753400</v>
      </c>
      <c r="H110" s="24">
        <v>6.5</v>
      </c>
      <c r="J110" t="s">
        <v>656</v>
      </c>
      <c r="K110" s="22" t="str">
        <f t="shared" ref="K110" si="59">IF(H110="",IF(I110="","point","middle"),"span")</f>
        <v>span</v>
      </c>
      <c r="M110" s="23">
        <f t="shared" si="37"/>
        <v>145.91666666666666</v>
      </c>
      <c r="N110" s="23">
        <f t="shared" si="2"/>
        <v>2.1641049000358215</v>
      </c>
      <c r="O110" t="s">
        <v>464</v>
      </c>
      <c r="P110">
        <v>2</v>
      </c>
      <c r="Q110" t="s">
        <v>1573</v>
      </c>
      <c r="S110" t="s">
        <v>1557</v>
      </c>
    </row>
    <row r="111" spans="1:19" x14ac:dyDescent="0.4">
      <c r="A111" t="s">
        <v>1471</v>
      </c>
      <c r="B111" s="24">
        <v>1982</v>
      </c>
      <c r="C111" s="24">
        <v>4</v>
      </c>
      <c r="D111" s="24">
        <v>4</v>
      </c>
      <c r="E111" s="24">
        <v>7</v>
      </c>
      <c r="F111" s="24">
        <v>44</v>
      </c>
      <c r="G111" s="20">
        <f t="shared" si="3"/>
        <v>386754239.99999988</v>
      </c>
      <c r="J111" t="s">
        <v>656</v>
      </c>
      <c r="K111" s="22" t="str">
        <f t="shared" ref="K111" si="60">IF(H111="",IF(I111="","point","middle"),"span")</f>
        <v>point</v>
      </c>
      <c r="L111" s="20" t="s">
        <v>671</v>
      </c>
      <c r="M111" s="23">
        <f t="shared" si="37"/>
        <v>146.14999999996689</v>
      </c>
      <c r="N111" s="23">
        <f t="shared" si="2"/>
        <v>2.164798819693357</v>
      </c>
      <c r="O111" t="s">
        <v>462</v>
      </c>
      <c r="P111">
        <v>6</v>
      </c>
      <c r="Q111" t="s">
        <v>1542</v>
      </c>
      <c r="S111" t="s">
        <v>1537</v>
      </c>
    </row>
    <row r="112" spans="1:19" x14ac:dyDescent="0.4">
      <c r="A112" t="s">
        <v>1471</v>
      </c>
      <c r="B112" s="24">
        <v>1982</v>
      </c>
      <c r="C112" s="24">
        <v>4</v>
      </c>
      <c r="D112" s="24">
        <v>4</v>
      </c>
      <c r="E112" s="24">
        <v>17</v>
      </c>
      <c r="F112" s="24">
        <v>30</v>
      </c>
      <c r="G112" s="20">
        <f t="shared" si="3"/>
        <v>386789400.00000012</v>
      </c>
      <c r="J112" t="s">
        <v>656</v>
      </c>
      <c r="K112" s="22" t="str">
        <f t="shared" ref="K112" si="61">IF(H112="",IF(I112="","point","middle"),"span")</f>
        <v>point</v>
      </c>
      <c r="L112" s="20" t="s">
        <v>1561</v>
      </c>
      <c r="M112" s="23">
        <f t="shared" si="37"/>
        <v>155.91666666669977</v>
      </c>
      <c r="N112" s="23">
        <f t="shared" si="2"/>
        <v>2.1928925414524771</v>
      </c>
      <c r="O112" t="s">
        <v>462</v>
      </c>
      <c r="P112">
        <v>0</v>
      </c>
      <c r="Q112" t="s">
        <v>1544</v>
      </c>
      <c r="S112" t="s">
        <v>1537</v>
      </c>
    </row>
    <row r="113" spans="1:19" x14ac:dyDescent="0.4">
      <c r="A113" t="s">
        <v>1471</v>
      </c>
      <c r="B113" s="24">
        <v>1982</v>
      </c>
      <c r="C113" s="24">
        <v>4</v>
      </c>
      <c r="D113" s="24">
        <v>4</v>
      </c>
      <c r="G113" s="20">
        <f t="shared" si="3"/>
        <v>386769600</v>
      </c>
      <c r="H113" s="20">
        <f>30*24</f>
        <v>720</v>
      </c>
      <c r="J113" t="s">
        <v>656</v>
      </c>
      <c r="K113" s="22" t="str">
        <f t="shared" ref="K113" si="62">IF(H113="",IF(I113="","point","middle"),"span")</f>
        <v>span</v>
      </c>
      <c r="M113" s="23">
        <f t="shared" si="37"/>
        <v>150.41666666666666</v>
      </c>
      <c r="N113" s="23">
        <f t="shared" si="2"/>
        <v>2.1772959601940518</v>
      </c>
      <c r="O113" t="s">
        <v>464</v>
      </c>
      <c r="P113">
        <v>1</v>
      </c>
      <c r="Q113" t="s">
        <v>1560</v>
      </c>
      <c r="S113" t="s">
        <v>1557</v>
      </c>
    </row>
    <row r="114" spans="1:19" x14ac:dyDescent="0.4">
      <c r="A114" t="s">
        <v>1471</v>
      </c>
      <c r="B114" s="24">
        <v>1982</v>
      </c>
      <c r="C114" s="24">
        <v>9</v>
      </c>
      <c r="D114" s="24">
        <v>11</v>
      </c>
      <c r="G114" s="20">
        <f t="shared" si="3"/>
        <v>400593600</v>
      </c>
      <c r="J114" t="s">
        <v>656</v>
      </c>
      <c r="K114" s="22" t="str">
        <f t="shared" ref="K114" si="63">IF(H114="",IF(I114="","point","middle"),"span")</f>
        <v>point</v>
      </c>
      <c r="M114" s="23">
        <f t="shared" si="37"/>
        <v>3990.4166666666665</v>
      </c>
      <c r="N114" s="23">
        <f t="shared" ref="N114" si="64">IF(M114=0,0, IF(M114&gt;0,LOG10(M114), -LOG10(-1*M114)))</f>
        <v>3.6010182457083948</v>
      </c>
      <c r="O114" t="s">
        <v>462</v>
      </c>
      <c r="P114">
        <v>4</v>
      </c>
      <c r="Q114" t="s">
        <v>1550</v>
      </c>
      <c r="S114" t="s">
        <v>1547</v>
      </c>
    </row>
    <row r="115" spans="1:19" x14ac:dyDescent="0.4">
      <c r="A115" t="s">
        <v>1415</v>
      </c>
      <c r="B115" s="20">
        <v>1743</v>
      </c>
      <c r="C115" s="20">
        <v>10</v>
      </c>
      <c r="D115" s="20">
        <v>22</v>
      </c>
      <c r="G115" s="20">
        <f t="shared" si="3"/>
        <v>52820251200</v>
      </c>
      <c r="J115" s="22" t="s">
        <v>1050</v>
      </c>
      <c r="K115" s="22" t="str">
        <f t="shared" si="0"/>
        <v>point</v>
      </c>
      <c r="M115" s="23">
        <f t="shared" ref="M115:M144" si="65">(G115--1797336000)/3600</f>
        <v>15171552</v>
      </c>
      <c r="N115" s="23">
        <f t="shared" ref="N115:N144" si="66">IF(M115=0,0, IF(M115&gt;0,LOG10(M115), -LOG10(-1*M115)))</f>
        <v>7.1810300099600637</v>
      </c>
      <c r="O115" t="s">
        <v>462</v>
      </c>
      <c r="P115">
        <v>4</v>
      </c>
      <c r="S115" t="s">
        <v>867</v>
      </c>
    </row>
    <row r="116" spans="1:19" x14ac:dyDescent="0.4">
      <c r="A116" t="s">
        <v>1415</v>
      </c>
      <c r="B116" s="20">
        <v>1744</v>
      </c>
      <c r="C116" s="9"/>
      <c r="D116" s="9"/>
      <c r="G116" s="20">
        <f t="shared" si="3"/>
        <v>52842067200</v>
      </c>
      <c r="J116" s="22" t="s">
        <v>1050</v>
      </c>
      <c r="K116" s="22" t="str">
        <f t="shared" ref="K116:K144" si="67">IF(H116="",IF(I116="","point","middle"),"span")</f>
        <v>point</v>
      </c>
      <c r="M116" s="23">
        <f t="shared" si="65"/>
        <v>15177612</v>
      </c>
      <c r="N116" s="23">
        <f t="shared" si="66"/>
        <v>7.1812034463417254</v>
      </c>
      <c r="O116" t="s">
        <v>462</v>
      </c>
      <c r="P116">
        <v>4</v>
      </c>
      <c r="S116" t="s">
        <v>867</v>
      </c>
    </row>
    <row r="117" spans="1:19" x14ac:dyDescent="0.4">
      <c r="A117" t="s">
        <v>1415</v>
      </c>
      <c r="B117" s="20">
        <v>1749</v>
      </c>
      <c r="C117" s="9"/>
      <c r="D117" s="9"/>
      <c r="G117" s="20">
        <f t="shared" si="3"/>
        <v>52999833600</v>
      </c>
      <c r="J117" s="22" t="s">
        <v>1050</v>
      </c>
      <c r="K117" s="22" t="str">
        <f t="shared" si="67"/>
        <v>point</v>
      </c>
      <c r="M117" s="23">
        <f t="shared" si="65"/>
        <v>15221436</v>
      </c>
      <c r="N117" s="23">
        <f t="shared" si="66"/>
        <v>7.1824556259862931</v>
      </c>
      <c r="O117" t="s">
        <v>462</v>
      </c>
      <c r="P117">
        <v>4</v>
      </c>
      <c r="S117" t="s">
        <v>867</v>
      </c>
    </row>
    <row r="118" spans="1:19" x14ac:dyDescent="0.4">
      <c r="A118" t="s">
        <v>1415</v>
      </c>
      <c r="B118" s="20">
        <v>1769</v>
      </c>
      <c r="C118" s="9"/>
      <c r="D118" s="9"/>
      <c r="G118" s="20">
        <f t="shared" si="3"/>
        <v>53630985600</v>
      </c>
      <c r="J118" s="22" t="s">
        <v>1050</v>
      </c>
      <c r="K118" s="22" t="str">
        <f t="shared" si="67"/>
        <v>point</v>
      </c>
      <c r="M118" s="23">
        <f t="shared" si="65"/>
        <v>15396756</v>
      </c>
      <c r="N118" s="23">
        <f t="shared" si="66"/>
        <v>7.187429227348999</v>
      </c>
      <c r="O118" t="s">
        <v>462</v>
      </c>
      <c r="P118">
        <v>4</v>
      </c>
      <c r="S118" t="s">
        <v>867</v>
      </c>
    </row>
    <row r="119" spans="1:19" x14ac:dyDescent="0.4">
      <c r="A119" t="s">
        <v>1415</v>
      </c>
      <c r="B119" s="20">
        <v>1770</v>
      </c>
      <c r="C119" s="20">
        <v>5</v>
      </c>
      <c r="D119" s="20">
        <v>10</v>
      </c>
      <c r="G119" s="20">
        <f t="shared" si="3"/>
        <v>53658072000</v>
      </c>
      <c r="J119" s="22" t="s">
        <v>1050</v>
      </c>
      <c r="K119" s="22" t="str">
        <f t="shared" si="67"/>
        <v>point</v>
      </c>
      <c r="M119" s="23">
        <f t="shared" si="65"/>
        <v>15404280</v>
      </c>
      <c r="N119" s="23">
        <f t="shared" si="66"/>
        <v>7.18764140409181</v>
      </c>
      <c r="O119" t="s">
        <v>462</v>
      </c>
      <c r="P119">
        <v>5</v>
      </c>
      <c r="Q119" t="s">
        <v>1052</v>
      </c>
      <c r="S119" t="s">
        <v>867</v>
      </c>
    </row>
    <row r="120" spans="1:19" x14ac:dyDescent="0.4">
      <c r="A120" t="s">
        <v>1415</v>
      </c>
      <c r="B120" s="20">
        <v>1771</v>
      </c>
      <c r="C120" s="9"/>
      <c r="D120" s="9"/>
      <c r="G120" s="20">
        <f t="shared" si="3"/>
        <v>53694057600</v>
      </c>
      <c r="J120" s="22" t="s">
        <v>1050</v>
      </c>
      <c r="K120" s="22" t="str">
        <f t="shared" si="67"/>
        <v>point</v>
      </c>
      <c r="M120" s="23">
        <f t="shared" si="65"/>
        <v>15414276</v>
      </c>
      <c r="N120" s="23">
        <f t="shared" si="66"/>
        <v>7.1879231309704696</v>
      </c>
      <c r="O120" t="s">
        <v>462</v>
      </c>
      <c r="P120">
        <v>5</v>
      </c>
      <c r="Q120" t="s">
        <v>1052</v>
      </c>
      <c r="S120" t="s">
        <v>867</v>
      </c>
    </row>
    <row r="121" spans="1:19" x14ac:dyDescent="0.4">
      <c r="A121" t="s">
        <v>1415</v>
      </c>
      <c r="B121" s="20">
        <v>1780</v>
      </c>
      <c r="C121" s="20">
        <v>11</v>
      </c>
      <c r="D121" s="20">
        <v>26</v>
      </c>
      <c r="G121" s="20">
        <f t="shared" si="3"/>
        <v>53990971200</v>
      </c>
      <c r="J121" s="22" t="s">
        <v>1050</v>
      </c>
      <c r="K121" s="22" t="str">
        <f t="shared" si="67"/>
        <v>point</v>
      </c>
      <c r="M121" s="23">
        <f t="shared" si="65"/>
        <v>15496752</v>
      </c>
      <c r="N121" s="23">
        <f t="shared" si="66"/>
        <v>7.190240682925702</v>
      </c>
      <c r="O121" t="s">
        <v>462</v>
      </c>
      <c r="P121">
        <v>4</v>
      </c>
      <c r="S121" t="s">
        <v>867</v>
      </c>
    </row>
    <row r="122" spans="1:19" x14ac:dyDescent="0.4">
      <c r="A122" t="s">
        <v>1415</v>
      </c>
      <c r="B122" s="20">
        <v>1794</v>
      </c>
      <c r="C122" s="20">
        <v>8</v>
      </c>
      <c r="D122" s="9"/>
      <c r="G122" s="20">
        <f t="shared" si="3"/>
        <v>54423878400</v>
      </c>
      <c r="J122" s="22" t="s">
        <v>1050</v>
      </c>
      <c r="K122" s="22" t="str">
        <f t="shared" si="67"/>
        <v>point</v>
      </c>
      <c r="M122" s="23">
        <f t="shared" si="65"/>
        <v>15617004</v>
      </c>
      <c r="N122" s="23">
        <f t="shared" si="66"/>
        <v>7.1935977215344211</v>
      </c>
      <c r="O122" t="s">
        <v>462</v>
      </c>
      <c r="P122">
        <v>4</v>
      </c>
      <c r="S122" t="s">
        <v>867</v>
      </c>
    </row>
    <row r="123" spans="1:19" x14ac:dyDescent="0.4">
      <c r="A123" t="s">
        <v>1415</v>
      </c>
      <c r="B123" s="20">
        <v>1795</v>
      </c>
      <c r="C123" s="20">
        <v>5</v>
      </c>
      <c r="D123" s="9"/>
      <c r="G123" s="20">
        <f t="shared" si="3"/>
        <v>54447465600</v>
      </c>
      <c r="J123" s="22" t="s">
        <v>1050</v>
      </c>
      <c r="K123" s="22" t="str">
        <f t="shared" si="67"/>
        <v>point</v>
      </c>
      <c r="M123" s="23">
        <f t="shared" si="65"/>
        <v>15623556</v>
      </c>
      <c r="N123" s="23">
        <f t="shared" si="66"/>
        <v>7.1937798884025659</v>
      </c>
      <c r="O123" t="s">
        <v>462</v>
      </c>
      <c r="P123">
        <v>4</v>
      </c>
      <c r="S123" t="s">
        <v>867</v>
      </c>
    </row>
    <row r="124" spans="1:19" x14ac:dyDescent="0.4">
      <c r="A124" t="s">
        <v>1415</v>
      </c>
      <c r="B124" s="20">
        <v>1804</v>
      </c>
      <c r="C124" s="9"/>
      <c r="D124" s="9"/>
      <c r="G124" s="20">
        <f t="shared" si="3"/>
        <v>54735436800</v>
      </c>
      <c r="J124" s="22" t="s">
        <v>1050</v>
      </c>
      <c r="K124" s="22" t="str">
        <f t="shared" si="67"/>
        <v>point</v>
      </c>
      <c r="M124" s="23">
        <f t="shared" si="65"/>
        <v>15703548</v>
      </c>
      <c r="N124" s="23">
        <f t="shared" si="66"/>
        <v>7.1959977863416382</v>
      </c>
      <c r="O124" t="s">
        <v>462</v>
      </c>
      <c r="P124">
        <v>4</v>
      </c>
      <c r="S124" t="s">
        <v>867</v>
      </c>
    </row>
    <row r="125" spans="1:19" x14ac:dyDescent="0.4">
      <c r="A125" t="s">
        <v>1415</v>
      </c>
      <c r="B125" s="20">
        <v>1806</v>
      </c>
      <c r="C125" s="9"/>
      <c r="D125" s="9"/>
      <c r="G125" s="20">
        <f t="shared" si="3"/>
        <v>54798508800</v>
      </c>
      <c r="J125" s="22" t="s">
        <v>1050</v>
      </c>
      <c r="K125" s="22" t="str">
        <f t="shared" si="67"/>
        <v>point</v>
      </c>
      <c r="M125" s="23">
        <f t="shared" si="65"/>
        <v>15721068</v>
      </c>
      <c r="N125" s="23">
        <f t="shared" si="66"/>
        <v>7.1964820462041175</v>
      </c>
      <c r="O125" t="s">
        <v>462</v>
      </c>
      <c r="P125">
        <v>4</v>
      </c>
      <c r="S125" t="s">
        <v>867</v>
      </c>
    </row>
    <row r="126" spans="1:19" x14ac:dyDescent="0.4">
      <c r="A126" t="s">
        <v>1415</v>
      </c>
      <c r="B126" s="20">
        <v>1818</v>
      </c>
      <c r="C126" s="20">
        <v>2</v>
      </c>
      <c r="D126" s="20">
        <v>15</v>
      </c>
      <c r="G126" s="20">
        <f t="shared" si="3"/>
        <v>55165492800</v>
      </c>
      <c r="J126" s="22" t="s">
        <v>1050</v>
      </c>
      <c r="K126" s="22" t="str">
        <f t="shared" si="67"/>
        <v>point</v>
      </c>
      <c r="M126" s="23">
        <f t="shared" si="65"/>
        <v>15823008</v>
      </c>
      <c r="N126" s="23">
        <f t="shared" si="66"/>
        <v>7.1992890476586542</v>
      </c>
      <c r="O126" t="s">
        <v>462</v>
      </c>
      <c r="P126">
        <v>6</v>
      </c>
      <c r="Q126" t="s">
        <v>1058</v>
      </c>
      <c r="S126" t="s">
        <v>867</v>
      </c>
    </row>
    <row r="127" spans="1:19" x14ac:dyDescent="0.4">
      <c r="A127" t="s">
        <v>1415</v>
      </c>
      <c r="B127" s="20">
        <v>1819</v>
      </c>
      <c r="C127" s="9"/>
      <c r="D127" s="9"/>
      <c r="G127" s="20">
        <f t="shared" si="3"/>
        <v>55208736000</v>
      </c>
      <c r="J127" s="22" t="s">
        <v>1050</v>
      </c>
      <c r="K127" s="22" t="str">
        <f t="shared" si="67"/>
        <v>point</v>
      </c>
      <c r="M127" s="23">
        <f t="shared" si="65"/>
        <v>15835020</v>
      </c>
      <c r="N127" s="23">
        <f t="shared" si="66"/>
        <v>7.1996186162323488</v>
      </c>
      <c r="O127" t="s">
        <v>462</v>
      </c>
      <c r="P127">
        <v>4</v>
      </c>
      <c r="S127" t="s">
        <v>867</v>
      </c>
    </row>
    <row r="128" spans="1:19" x14ac:dyDescent="0.4">
      <c r="A128" t="s">
        <v>1415</v>
      </c>
      <c r="B128" s="20">
        <v>1869</v>
      </c>
      <c r="C128" s="20">
        <v>6</v>
      </c>
      <c r="D128" s="20">
        <v>12</v>
      </c>
      <c r="G128" s="20">
        <f t="shared" si="3"/>
        <v>56785060800</v>
      </c>
      <c r="J128" s="22" t="s">
        <v>1050</v>
      </c>
      <c r="K128" s="22" t="str">
        <f t="shared" si="67"/>
        <v>point</v>
      </c>
      <c r="M128" s="23">
        <f t="shared" si="65"/>
        <v>16272888</v>
      </c>
      <c r="N128" s="23">
        <f t="shared" si="66"/>
        <v>7.211464635368328</v>
      </c>
      <c r="O128" t="s">
        <v>462</v>
      </c>
      <c r="P128">
        <v>5</v>
      </c>
      <c r="Q128" t="s">
        <v>1052</v>
      </c>
      <c r="S128" t="s">
        <v>867</v>
      </c>
    </row>
    <row r="129" spans="1:19" x14ac:dyDescent="0.4">
      <c r="A129" t="s">
        <v>1415</v>
      </c>
      <c r="B129" s="20">
        <v>1870</v>
      </c>
      <c r="C129" s="9"/>
      <c r="D129" s="9"/>
      <c r="G129" s="20">
        <f t="shared" si="3"/>
        <v>56818195200</v>
      </c>
      <c r="J129" s="22" t="s">
        <v>1050</v>
      </c>
      <c r="K129" s="22" t="str">
        <f t="shared" si="67"/>
        <v>point</v>
      </c>
      <c r="M129" s="23">
        <f t="shared" si="65"/>
        <v>16282092</v>
      </c>
      <c r="N129" s="23">
        <f t="shared" si="66"/>
        <v>7.2117102043422872</v>
      </c>
      <c r="O129" t="s">
        <v>462</v>
      </c>
      <c r="P129">
        <v>4</v>
      </c>
      <c r="S129" t="s">
        <v>867</v>
      </c>
    </row>
    <row r="130" spans="1:19" x14ac:dyDescent="0.4">
      <c r="A130" t="s">
        <v>1415</v>
      </c>
      <c r="B130" s="20">
        <v>1872</v>
      </c>
      <c r="C130" s="20">
        <v>2</v>
      </c>
      <c r="D130" s="20">
        <v>26</v>
      </c>
      <c r="G130" s="20">
        <f t="shared" si="3"/>
        <v>56870510400</v>
      </c>
      <c r="J130" s="22" t="s">
        <v>1050</v>
      </c>
      <c r="K130" s="22" t="str">
        <f t="shared" si="67"/>
        <v>point</v>
      </c>
      <c r="M130" s="23">
        <f t="shared" si="65"/>
        <v>16296624</v>
      </c>
      <c r="N130" s="23">
        <f t="shared" si="66"/>
        <v>7.2120976455066099</v>
      </c>
      <c r="O130" t="s">
        <v>462</v>
      </c>
      <c r="P130">
        <v>5</v>
      </c>
      <c r="Q130" t="s">
        <v>1052</v>
      </c>
      <c r="S130" t="s">
        <v>867</v>
      </c>
    </row>
    <row r="131" spans="1:19" x14ac:dyDescent="0.4">
      <c r="A131" t="s">
        <v>1415</v>
      </c>
      <c r="B131" s="20">
        <v>1874</v>
      </c>
      <c r="C131" s="20">
        <v>6</v>
      </c>
      <c r="D131" s="20">
        <v>12</v>
      </c>
      <c r="G131" s="20">
        <f t="shared" si="3"/>
        <v>56942827200</v>
      </c>
      <c r="J131" s="22" t="s">
        <v>1050</v>
      </c>
      <c r="K131" s="22" t="str">
        <f t="shared" si="67"/>
        <v>point</v>
      </c>
      <c r="M131" s="23">
        <f t="shared" si="65"/>
        <v>16316712</v>
      </c>
      <c r="N131" s="23">
        <f t="shared" si="66"/>
        <v>7.2126326480378289</v>
      </c>
      <c r="O131" t="s">
        <v>462</v>
      </c>
      <c r="P131">
        <v>4</v>
      </c>
      <c r="S131" t="s">
        <v>867</v>
      </c>
    </row>
    <row r="132" spans="1:19" x14ac:dyDescent="0.4">
      <c r="A132" t="s">
        <v>1415</v>
      </c>
      <c r="B132" s="20">
        <v>1875</v>
      </c>
      <c r="C132" s="9"/>
      <c r="D132" s="9"/>
      <c r="G132" s="20">
        <f t="shared" si="3"/>
        <v>56975961600</v>
      </c>
      <c r="J132" s="22" t="s">
        <v>1050</v>
      </c>
      <c r="K132" s="22" t="str">
        <f t="shared" si="67"/>
        <v>point</v>
      </c>
      <c r="M132" s="23">
        <f t="shared" si="65"/>
        <v>16325916</v>
      </c>
      <c r="N132" s="23">
        <f t="shared" si="66"/>
        <v>7.2128775576399216</v>
      </c>
      <c r="O132" t="s">
        <v>462</v>
      </c>
      <c r="P132">
        <v>4</v>
      </c>
      <c r="S132" t="s">
        <v>867</v>
      </c>
    </row>
    <row r="133" spans="1:19" x14ac:dyDescent="0.4">
      <c r="A133" t="s">
        <v>1415</v>
      </c>
      <c r="B133" s="20">
        <v>1879</v>
      </c>
      <c r="C133" s="20">
        <v>12</v>
      </c>
      <c r="D133" s="20">
        <v>23</v>
      </c>
      <c r="G133" s="20">
        <f t="shared" si="3"/>
        <v>57117355200</v>
      </c>
      <c r="J133" s="22" t="s">
        <v>1050</v>
      </c>
      <c r="K133" s="22" t="str">
        <f t="shared" si="67"/>
        <v>point</v>
      </c>
      <c r="M133" s="23">
        <f t="shared" si="65"/>
        <v>16365192</v>
      </c>
      <c r="N133" s="23">
        <f t="shared" si="66"/>
        <v>7.2139211049114467</v>
      </c>
      <c r="O133" t="s">
        <v>462</v>
      </c>
      <c r="P133">
        <v>4</v>
      </c>
      <c r="S133" t="s">
        <v>867</v>
      </c>
    </row>
    <row r="134" spans="1:19" x14ac:dyDescent="0.4">
      <c r="A134" t="s">
        <v>1415</v>
      </c>
      <c r="B134" s="20">
        <v>1880</v>
      </c>
      <c r="C134" s="20">
        <v>12</v>
      </c>
      <c r="D134" s="20">
        <v>1</v>
      </c>
      <c r="G134" s="20">
        <f t="shared" si="3"/>
        <v>57147076800</v>
      </c>
      <c r="J134" s="22" t="s">
        <v>1050</v>
      </c>
      <c r="K134" s="22" t="str">
        <f t="shared" si="67"/>
        <v>point</v>
      </c>
      <c r="M134" s="23">
        <f t="shared" si="65"/>
        <v>16373448</v>
      </c>
      <c r="N134" s="23">
        <f t="shared" si="66"/>
        <v>7.2141401448788125</v>
      </c>
      <c r="O134" t="s">
        <v>462</v>
      </c>
      <c r="P134">
        <v>4</v>
      </c>
      <c r="S134" t="s">
        <v>867</v>
      </c>
    </row>
    <row r="135" spans="1:19" x14ac:dyDescent="0.4">
      <c r="A135" t="s">
        <v>1415</v>
      </c>
      <c r="B135" s="20">
        <v>1882</v>
      </c>
      <c r="C135" s="9"/>
      <c r="D135" s="9"/>
      <c r="G135" s="20">
        <f t="shared" si="3"/>
        <v>57196886400</v>
      </c>
      <c r="J135" s="22" t="s">
        <v>1050</v>
      </c>
      <c r="K135" s="22" t="str">
        <f t="shared" si="67"/>
        <v>point</v>
      </c>
      <c r="M135" s="23">
        <f t="shared" si="65"/>
        <v>16387284</v>
      </c>
      <c r="N135" s="23">
        <f t="shared" si="66"/>
        <v>7.2145069803212483</v>
      </c>
      <c r="O135" t="s">
        <v>462</v>
      </c>
      <c r="P135">
        <v>4</v>
      </c>
      <c r="S135" t="s">
        <v>867</v>
      </c>
    </row>
    <row r="136" spans="1:19" x14ac:dyDescent="0.4">
      <c r="A136" t="s">
        <v>1415</v>
      </c>
      <c r="B136" s="20">
        <v>1885</v>
      </c>
      <c r="C136" s="20">
        <v>12</v>
      </c>
      <c r="D136" s="20">
        <v>26</v>
      </c>
      <c r="G136" s="20">
        <f t="shared" si="3"/>
        <v>57307003200</v>
      </c>
      <c r="J136" s="22" t="s">
        <v>1050</v>
      </c>
      <c r="K136" s="22" t="str">
        <f t="shared" si="67"/>
        <v>point</v>
      </c>
      <c r="M136" s="23">
        <f t="shared" si="65"/>
        <v>16417872</v>
      </c>
      <c r="N136" s="23">
        <f t="shared" si="66"/>
        <v>7.2153168654174937</v>
      </c>
      <c r="O136" t="s">
        <v>462</v>
      </c>
      <c r="P136">
        <v>5</v>
      </c>
      <c r="S136" t="s">
        <v>867</v>
      </c>
    </row>
    <row r="137" spans="1:19" x14ac:dyDescent="0.4">
      <c r="A137" t="s">
        <v>1415</v>
      </c>
      <c r="B137" s="20">
        <v>1887</v>
      </c>
      <c r="C137" s="9"/>
      <c r="D137" s="9"/>
      <c r="G137" s="20">
        <f t="shared" si="3"/>
        <v>57354652800</v>
      </c>
      <c r="J137" s="22" t="s">
        <v>1050</v>
      </c>
      <c r="K137" s="22" t="str">
        <f t="shared" si="67"/>
        <v>point</v>
      </c>
      <c r="M137" s="23">
        <f t="shared" si="65"/>
        <v>16431108</v>
      </c>
      <c r="N137" s="23">
        <f t="shared" si="66"/>
        <v>7.2156668502312424</v>
      </c>
      <c r="O137" t="s">
        <v>462</v>
      </c>
      <c r="P137">
        <v>4</v>
      </c>
      <c r="S137" t="s">
        <v>867</v>
      </c>
    </row>
    <row r="138" spans="1:19" x14ac:dyDescent="0.4">
      <c r="A138" t="s">
        <v>1415</v>
      </c>
      <c r="B138" s="20">
        <v>1889</v>
      </c>
      <c r="C138" s="20">
        <v>8</v>
      </c>
      <c r="D138" s="20">
        <v>9</v>
      </c>
      <c r="G138" s="20">
        <f t="shared" si="3"/>
        <v>57421224000</v>
      </c>
      <c r="J138" s="22" t="s">
        <v>1050</v>
      </c>
      <c r="K138" s="22" t="str">
        <f t="shared" si="67"/>
        <v>point</v>
      </c>
      <c r="M138" s="23">
        <f t="shared" si="65"/>
        <v>16449600</v>
      </c>
      <c r="N138" s="23">
        <f t="shared" si="66"/>
        <v>7.2161553418054538</v>
      </c>
      <c r="O138" t="s">
        <v>462</v>
      </c>
      <c r="P138">
        <v>6</v>
      </c>
      <c r="Q138" t="s">
        <v>1058</v>
      </c>
      <c r="S138" t="s">
        <v>867</v>
      </c>
    </row>
    <row r="139" spans="1:19" x14ac:dyDescent="0.4">
      <c r="A139" t="s">
        <v>1415</v>
      </c>
      <c r="B139" s="20">
        <v>1890</v>
      </c>
      <c r="C139" s="20">
        <v>11</v>
      </c>
      <c r="D139" s="20">
        <v>18</v>
      </c>
      <c r="G139" s="20">
        <f t="shared" si="3"/>
        <v>57461486400</v>
      </c>
      <c r="J139" s="22" t="s">
        <v>1050</v>
      </c>
      <c r="K139" s="22" t="str">
        <f t="shared" si="67"/>
        <v>point</v>
      </c>
      <c r="M139" s="23">
        <f t="shared" si="65"/>
        <v>16460784</v>
      </c>
      <c r="N139" s="23">
        <f t="shared" si="66"/>
        <v>7.2164505160989281</v>
      </c>
      <c r="O139" t="s">
        <v>462</v>
      </c>
      <c r="P139">
        <v>4</v>
      </c>
      <c r="S139" t="s">
        <v>867</v>
      </c>
    </row>
    <row r="140" spans="1:19" x14ac:dyDescent="0.4">
      <c r="A140" t="s">
        <v>1415</v>
      </c>
      <c r="B140" s="20">
        <v>1891</v>
      </c>
      <c r="C140" s="9"/>
      <c r="D140" s="9"/>
      <c r="G140" s="20">
        <f t="shared" si="3"/>
        <v>57480883200</v>
      </c>
      <c r="J140" s="22" t="s">
        <v>1050</v>
      </c>
      <c r="K140" s="22" t="str">
        <f t="shared" si="67"/>
        <v>point</v>
      </c>
      <c r="M140" s="23">
        <f t="shared" si="65"/>
        <v>16466172</v>
      </c>
      <c r="N140" s="23">
        <f t="shared" si="66"/>
        <v>7.2165926475907902</v>
      </c>
      <c r="O140" t="s">
        <v>462</v>
      </c>
      <c r="P140">
        <v>4</v>
      </c>
      <c r="S140" t="s">
        <v>867</v>
      </c>
    </row>
    <row r="141" spans="1:19" x14ac:dyDescent="0.4">
      <c r="A141" t="s">
        <v>1415</v>
      </c>
      <c r="B141" s="20">
        <v>1893</v>
      </c>
      <c r="C141" s="20">
        <v>12</v>
      </c>
      <c r="D141" s="20">
        <v>4</v>
      </c>
      <c r="G141" s="20">
        <f t="shared" si="3"/>
        <v>57557563200</v>
      </c>
      <c r="J141" s="22" t="s">
        <v>1050</v>
      </c>
      <c r="K141" s="22" t="str">
        <f t="shared" si="67"/>
        <v>point</v>
      </c>
      <c r="M141" s="23">
        <f t="shared" si="65"/>
        <v>16487472</v>
      </c>
      <c r="N141" s="23">
        <f t="shared" si="66"/>
        <v>7.2171540710104756</v>
      </c>
      <c r="O141" t="s">
        <v>462</v>
      </c>
      <c r="P141">
        <v>4</v>
      </c>
      <c r="S141" t="s">
        <v>867</v>
      </c>
    </row>
    <row r="142" spans="1:19" x14ac:dyDescent="0.4">
      <c r="A142" t="s">
        <v>1415</v>
      </c>
      <c r="B142" s="20">
        <v>1903</v>
      </c>
      <c r="C142" s="20">
        <v>2</v>
      </c>
      <c r="D142" s="20">
        <v>15</v>
      </c>
      <c r="G142" s="20">
        <f t="shared" si="3"/>
        <v>-2110449600</v>
      </c>
      <c r="J142" s="22" t="s">
        <v>1050</v>
      </c>
      <c r="K142" s="22" t="str">
        <f t="shared" si="67"/>
        <v>point</v>
      </c>
      <c r="M142" s="23">
        <f t="shared" si="65"/>
        <v>-86976</v>
      </c>
      <c r="N142" s="23">
        <f t="shared" si="66"/>
        <v>-4.9393994307163815</v>
      </c>
      <c r="O142" t="s">
        <v>462</v>
      </c>
      <c r="P142">
        <v>5</v>
      </c>
      <c r="Q142" t="s">
        <v>1052</v>
      </c>
      <c r="S142" t="s">
        <v>867</v>
      </c>
    </row>
    <row r="143" spans="1:19" x14ac:dyDescent="0.4">
      <c r="A143" t="s">
        <v>1415</v>
      </c>
      <c r="B143" s="20">
        <v>1904</v>
      </c>
      <c r="C143" s="9"/>
      <c r="D143" s="9"/>
      <c r="G143" s="20">
        <f t="shared" si="3"/>
        <v>-2067120000</v>
      </c>
      <c r="J143" s="22" t="s">
        <v>1050</v>
      </c>
      <c r="K143" s="22" t="str">
        <f t="shared" si="67"/>
        <v>point</v>
      </c>
      <c r="M143" s="23">
        <f t="shared" si="65"/>
        <v>-74940</v>
      </c>
      <c r="N143" s="23">
        <f t="shared" si="66"/>
        <v>-4.8747136887577796</v>
      </c>
      <c r="O143" t="s">
        <v>462</v>
      </c>
      <c r="P143">
        <v>4</v>
      </c>
      <c r="S143" t="s">
        <v>867</v>
      </c>
    </row>
    <row r="144" spans="1:19" x14ac:dyDescent="0.4">
      <c r="A144" t="s">
        <v>1415</v>
      </c>
      <c r="B144" s="20">
        <v>1908</v>
      </c>
      <c r="C144" s="20">
        <v>12</v>
      </c>
      <c r="D144" s="20">
        <v>18</v>
      </c>
      <c r="G144" s="20">
        <f t="shared" si="3"/>
        <v>-1926158400</v>
      </c>
      <c r="J144" s="22" t="s">
        <v>1050</v>
      </c>
      <c r="K144" s="22" t="str">
        <f t="shared" si="67"/>
        <v>point</v>
      </c>
      <c r="M144" s="23">
        <f t="shared" si="65"/>
        <v>-35784</v>
      </c>
      <c r="N144" s="23">
        <f t="shared" si="66"/>
        <v>-4.5536888851646005</v>
      </c>
      <c r="O144" t="s">
        <v>462</v>
      </c>
      <c r="P144">
        <v>5</v>
      </c>
      <c r="Q144" t="s">
        <v>1052</v>
      </c>
      <c r="S144" t="s">
        <v>867</v>
      </c>
    </row>
    <row r="145" spans="1:19" x14ac:dyDescent="0.4">
      <c r="A145" t="s">
        <v>1415</v>
      </c>
      <c r="B145" s="24">
        <v>1913</v>
      </c>
      <c r="C145" s="24">
        <v>1</v>
      </c>
      <c r="D145" s="24">
        <v>17</v>
      </c>
      <c r="G145" s="20">
        <f t="shared" si="3"/>
        <v>-1797336000</v>
      </c>
      <c r="H145" s="20">
        <v>76</v>
      </c>
      <c r="J145" s="22"/>
      <c r="K145" s="22" t="str">
        <f t="shared" si="0"/>
        <v>span</v>
      </c>
      <c r="L145" s="20" t="s">
        <v>670</v>
      </c>
      <c r="M145" s="23">
        <f t="shared" ref="M145:M149" si="68">(G145--1797336000)/3600</f>
        <v>0</v>
      </c>
      <c r="N145" s="23">
        <f t="shared" si="2"/>
        <v>0</v>
      </c>
      <c r="O145" t="s">
        <v>538</v>
      </c>
      <c r="P145">
        <v>3</v>
      </c>
      <c r="Q145" t="s">
        <v>533</v>
      </c>
      <c r="R145" t="s">
        <v>532</v>
      </c>
      <c r="S145" t="s">
        <v>530</v>
      </c>
    </row>
    <row r="146" spans="1:19" x14ac:dyDescent="0.4">
      <c r="A146" t="s">
        <v>1415</v>
      </c>
      <c r="B146" s="24">
        <v>1913</v>
      </c>
      <c r="C146" s="24">
        <v>1</v>
      </c>
      <c r="D146" s="24">
        <v>20</v>
      </c>
      <c r="E146" s="24">
        <v>4</v>
      </c>
      <c r="G146" s="20">
        <f t="shared" si="3"/>
        <v>-1797105600</v>
      </c>
      <c r="H146" s="20">
        <v>6.5</v>
      </c>
      <c r="J146" s="22"/>
      <c r="K146" s="22" t="str">
        <f t="shared" si="0"/>
        <v>span</v>
      </c>
      <c r="M146" s="23">
        <f t="shared" si="68"/>
        <v>64</v>
      </c>
      <c r="N146" s="23">
        <f t="shared" si="2"/>
        <v>1.8061799739838871</v>
      </c>
      <c r="O146" t="s">
        <v>538</v>
      </c>
      <c r="P146">
        <v>4</v>
      </c>
      <c r="Q146" t="s">
        <v>534</v>
      </c>
      <c r="S146" t="s">
        <v>530</v>
      </c>
    </row>
    <row r="147" spans="1:19" x14ac:dyDescent="0.4">
      <c r="A147" t="s">
        <v>1415</v>
      </c>
      <c r="B147" s="24">
        <v>1913</v>
      </c>
      <c r="C147" s="24">
        <v>1</v>
      </c>
      <c r="D147" s="24">
        <v>20</v>
      </c>
      <c r="E147" s="24">
        <v>10</v>
      </c>
      <c r="F147" s="24">
        <v>30</v>
      </c>
      <c r="G147" s="20">
        <f t="shared" si="3"/>
        <v>-1797082200</v>
      </c>
      <c r="H147" s="20">
        <v>1</v>
      </c>
      <c r="J147" s="22"/>
      <c r="K147" s="22" t="str">
        <f t="shared" si="0"/>
        <v>span</v>
      </c>
      <c r="M147" s="23">
        <f t="shared" si="68"/>
        <v>70.5</v>
      </c>
      <c r="N147" s="23">
        <f t="shared" si="2"/>
        <v>1.8481891169913987</v>
      </c>
      <c r="O147" t="s">
        <v>538</v>
      </c>
      <c r="P147">
        <v>0</v>
      </c>
      <c r="Q147" t="s">
        <v>535</v>
      </c>
      <c r="S147" t="s">
        <v>530</v>
      </c>
    </row>
    <row r="148" spans="1:19" x14ac:dyDescent="0.4">
      <c r="A148" t="s">
        <v>1415</v>
      </c>
      <c r="B148" s="24">
        <v>1913</v>
      </c>
      <c r="C148" s="24">
        <v>1</v>
      </c>
      <c r="D148" s="24">
        <v>20</v>
      </c>
      <c r="E148" s="24">
        <v>11</v>
      </c>
      <c r="F148" s="24">
        <v>30</v>
      </c>
      <c r="G148" s="20">
        <f t="shared" si="3"/>
        <v>-1797078600</v>
      </c>
      <c r="H148" s="20">
        <v>8</v>
      </c>
      <c r="K148" s="22" t="str">
        <f t="shared" si="0"/>
        <v>span</v>
      </c>
      <c r="L148" s="20" t="s">
        <v>671</v>
      </c>
      <c r="M148" s="23">
        <f t="shared" si="68"/>
        <v>71.5</v>
      </c>
      <c r="N148" s="23">
        <f t="shared" si="2"/>
        <v>1.8543060418010806</v>
      </c>
      <c r="O148" t="s">
        <v>538</v>
      </c>
      <c r="P148">
        <v>6</v>
      </c>
      <c r="Q148" t="s">
        <v>536</v>
      </c>
      <c r="S148" t="s">
        <v>530</v>
      </c>
    </row>
    <row r="149" spans="1:19" x14ac:dyDescent="0.4">
      <c r="A149" t="s">
        <v>1415</v>
      </c>
      <c r="B149" s="24">
        <v>1913</v>
      </c>
      <c r="C149" s="24">
        <v>1</v>
      </c>
      <c r="D149" s="24">
        <v>24</v>
      </c>
      <c r="E149" s="24">
        <v>11</v>
      </c>
      <c r="F149" s="24">
        <v>30</v>
      </c>
      <c r="G149" s="20">
        <f t="shared" si="3"/>
        <v>-1796733000</v>
      </c>
      <c r="K149" s="22" t="str">
        <f t="shared" si="0"/>
        <v>point</v>
      </c>
      <c r="M149" s="23">
        <f t="shared" si="68"/>
        <v>167.5</v>
      </c>
      <c r="N149" s="23">
        <f t="shared" si="2"/>
        <v>2.2240148113728639</v>
      </c>
      <c r="O149" t="s">
        <v>538</v>
      </c>
      <c r="P149">
        <v>4</v>
      </c>
      <c r="Q149" t="s">
        <v>537</v>
      </c>
      <c r="S149" t="s">
        <v>530</v>
      </c>
    </row>
    <row r="150" spans="1:19" x14ac:dyDescent="0.4">
      <c r="A150" t="s">
        <v>1415</v>
      </c>
      <c r="B150" s="24">
        <v>1926</v>
      </c>
      <c r="G150" s="20">
        <f t="shared" si="3"/>
        <v>-1372896000</v>
      </c>
      <c r="H150" s="20">
        <f>5*365*24</f>
        <v>43800</v>
      </c>
      <c r="J150" t="s">
        <v>656</v>
      </c>
      <c r="K150" s="22" t="str">
        <f t="shared" ref="K150:K166" si="69">IF(H150="",IF(I150="","point","middle"),"span")</f>
        <v>span</v>
      </c>
      <c r="M150" s="23">
        <f t="shared" ref="M150:M166" si="70">(G150--1797336000)/3600</f>
        <v>117900</v>
      </c>
      <c r="N150" s="23">
        <f t="shared" ref="N150:N166" si="71">IF(M150=0,0, IF(M150&gt;0,LOG10(M150), -LOG10(-1*M150)))</f>
        <v>5.0715138050950888</v>
      </c>
      <c r="O150" t="s">
        <v>462</v>
      </c>
      <c r="P150">
        <v>4</v>
      </c>
      <c r="S150" t="s">
        <v>867</v>
      </c>
    </row>
    <row r="151" spans="1:19" x14ac:dyDescent="0.4">
      <c r="A151" t="s">
        <v>1415</v>
      </c>
      <c r="B151" s="20">
        <v>1941</v>
      </c>
      <c r="C151" s="24">
        <v>4</v>
      </c>
      <c r="D151" s="20">
        <v>15</v>
      </c>
      <c r="G151" s="20">
        <f t="shared" si="3"/>
        <v>-906120000</v>
      </c>
      <c r="J151" t="s">
        <v>656</v>
      </c>
      <c r="K151" s="22" t="str">
        <f t="shared" si="69"/>
        <v>point</v>
      </c>
      <c r="M151" s="23">
        <f t="shared" si="70"/>
        <v>247560</v>
      </c>
      <c r="N151" s="23">
        <f t="shared" si="71"/>
        <v>5.3936804740207762</v>
      </c>
      <c r="O151" t="s">
        <v>462</v>
      </c>
      <c r="P151">
        <v>5</v>
      </c>
      <c r="Q151" t="s">
        <v>1057</v>
      </c>
      <c r="S151" t="s">
        <v>867</v>
      </c>
    </row>
    <row r="152" spans="1:19" x14ac:dyDescent="0.4">
      <c r="A152" t="s">
        <v>1415</v>
      </c>
      <c r="B152" s="20">
        <v>1957</v>
      </c>
      <c r="C152" s="24">
        <v>5</v>
      </c>
      <c r="D152" s="20">
        <v>14</v>
      </c>
      <c r="G152" s="20">
        <f t="shared" si="3"/>
        <v>-398692800</v>
      </c>
      <c r="H152" s="20">
        <v>27480</v>
      </c>
      <c r="J152" t="s">
        <v>656</v>
      </c>
      <c r="K152" s="22" t="str">
        <f t="shared" si="69"/>
        <v>span</v>
      </c>
      <c r="M152" s="23">
        <f t="shared" si="70"/>
        <v>388512</v>
      </c>
      <c r="N152" s="23">
        <f t="shared" si="71"/>
        <v>5.5894044374311349</v>
      </c>
      <c r="O152" t="s">
        <v>462</v>
      </c>
      <c r="P152">
        <v>4</v>
      </c>
      <c r="S152" t="s">
        <v>867</v>
      </c>
    </row>
    <row r="153" spans="1:19" x14ac:dyDescent="0.4">
      <c r="A153" t="s">
        <v>1415</v>
      </c>
      <c r="B153" s="20">
        <v>1961</v>
      </c>
      <c r="C153" s="24">
        <v>7</v>
      </c>
      <c r="D153" s="20">
        <v>2</v>
      </c>
      <c r="G153" s="20">
        <f t="shared" si="3"/>
        <v>-268228800</v>
      </c>
      <c r="H153" s="20">
        <v>12408</v>
      </c>
      <c r="J153" t="s">
        <v>656</v>
      </c>
      <c r="K153" s="22" t="str">
        <f t="shared" si="69"/>
        <v>span</v>
      </c>
      <c r="M153" s="23">
        <f t="shared" si="70"/>
        <v>424752</v>
      </c>
      <c r="N153" s="23">
        <f t="shared" si="71"/>
        <v>5.6281354324779143</v>
      </c>
      <c r="O153" t="s">
        <v>462</v>
      </c>
      <c r="P153">
        <v>4</v>
      </c>
      <c r="S153" t="s">
        <v>867</v>
      </c>
    </row>
    <row r="154" spans="1:19" x14ac:dyDescent="0.4">
      <c r="A154" t="s">
        <v>1415</v>
      </c>
      <c r="B154" s="20">
        <v>1963</v>
      </c>
      <c r="C154" s="24">
        <v>7</v>
      </c>
      <c r="D154" s="20">
        <v>2</v>
      </c>
      <c r="G154" s="20">
        <f t="shared" si="3"/>
        <v>-205156800</v>
      </c>
      <c r="H154" s="20">
        <v>61368</v>
      </c>
      <c r="J154" t="s">
        <v>656</v>
      </c>
      <c r="K154" s="22" t="str">
        <f t="shared" si="69"/>
        <v>span</v>
      </c>
      <c r="M154" s="23">
        <f t="shared" si="70"/>
        <v>442272</v>
      </c>
      <c r="N154" s="23">
        <f t="shared" si="71"/>
        <v>5.6456894452922484</v>
      </c>
      <c r="O154" t="s">
        <v>462</v>
      </c>
      <c r="P154">
        <v>4</v>
      </c>
      <c r="S154" t="s">
        <v>867</v>
      </c>
    </row>
    <row r="155" spans="1:19" x14ac:dyDescent="0.4">
      <c r="A155" t="s">
        <v>1415</v>
      </c>
      <c r="B155" s="20">
        <v>1973</v>
      </c>
      <c r="C155" s="24">
        <v>1</v>
      </c>
      <c r="D155" s="20">
        <v>30</v>
      </c>
      <c r="G155" s="20">
        <f t="shared" si="3"/>
        <v>97243200</v>
      </c>
      <c r="J155" t="s">
        <v>656</v>
      </c>
      <c r="K155" s="22" t="str">
        <f t="shared" si="69"/>
        <v>point</v>
      </c>
      <c r="M155" s="23">
        <f t="shared" si="70"/>
        <v>526272</v>
      </c>
      <c r="N155" s="23">
        <f t="shared" si="71"/>
        <v>5.721210264243048</v>
      </c>
      <c r="O155" t="s">
        <v>462</v>
      </c>
      <c r="P155">
        <v>4</v>
      </c>
      <c r="S155" t="s">
        <v>867</v>
      </c>
    </row>
    <row r="156" spans="1:19" x14ac:dyDescent="0.4">
      <c r="A156" t="s">
        <v>1415</v>
      </c>
      <c r="B156" s="20">
        <v>1975</v>
      </c>
      <c r="C156" s="24">
        <v>12</v>
      </c>
      <c r="D156" s="20">
        <v>11</v>
      </c>
      <c r="G156" s="20">
        <f t="shared" si="3"/>
        <v>187531200</v>
      </c>
      <c r="H156" s="20">
        <v>4608</v>
      </c>
      <c r="J156" t="s">
        <v>656</v>
      </c>
      <c r="K156" s="22" t="str">
        <f t="shared" si="69"/>
        <v>span</v>
      </c>
      <c r="M156" s="23">
        <f t="shared" si="70"/>
        <v>551352</v>
      </c>
      <c r="N156" s="23">
        <f t="shared" si="71"/>
        <v>5.7414289542932879</v>
      </c>
      <c r="O156" t="s">
        <v>462</v>
      </c>
      <c r="P156">
        <v>4</v>
      </c>
      <c r="S156" t="s">
        <v>867</v>
      </c>
    </row>
    <row r="157" spans="1:19" x14ac:dyDescent="0.4">
      <c r="A157" t="s">
        <v>1415</v>
      </c>
      <c r="B157" s="20">
        <v>1977</v>
      </c>
      <c r="C157" s="24">
        <v>12</v>
      </c>
      <c r="D157" s="20">
        <v>16</v>
      </c>
      <c r="G157" s="20">
        <f t="shared" si="3"/>
        <v>251121600</v>
      </c>
      <c r="H157" s="20">
        <v>39432</v>
      </c>
      <c r="J157" t="s">
        <v>656</v>
      </c>
      <c r="K157" s="22" t="str">
        <f t="shared" si="69"/>
        <v>span</v>
      </c>
      <c r="M157" s="23">
        <f t="shared" si="70"/>
        <v>569016</v>
      </c>
      <c r="N157" s="23">
        <f t="shared" si="71"/>
        <v>5.7551244783704929</v>
      </c>
      <c r="O157" t="s">
        <v>462</v>
      </c>
      <c r="P157">
        <v>4</v>
      </c>
      <c r="S157" t="s">
        <v>867</v>
      </c>
    </row>
    <row r="158" spans="1:19" x14ac:dyDescent="0.4">
      <c r="A158" t="s">
        <v>1415</v>
      </c>
      <c r="B158" s="20">
        <v>1983</v>
      </c>
      <c r="C158" s="24">
        <v>2</v>
      </c>
      <c r="D158" s="20">
        <v>11</v>
      </c>
      <c r="G158" s="20">
        <f t="shared" si="3"/>
        <v>413812800</v>
      </c>
      <c r="J158" t="s">
        <v>656</v>
      </c>
      <c r="K158" s="22" t="str">
        <f t="shared" si="69"/>
        <v>point</v>
      </c>
      <c r="M158" s="23">
        <f t="shared" si="70"/>
        <v>614208</v>
      </c>
      <c r="N158" s="23">
        <f t="shared" si="71"/>
        <v>5.7883154687876566</v>
      </c>
      <c r="O158" t="s">
        <v>462</v>
      </c>
      <c r="P158">
        <v>4</v>
      </c>
      <c r="S158" t="s">
        <v>867</v>
      </c>
    </row>
    <row r="159" spans="1:19" x14ac:dyDescent="0.4">
      <c r="A159" t="s">
        <v>1415</v>
      </c>
      <c r="B159" s="20">
        <v>1985</v>
      </c>
      <c r="C159" s="24">
        <v>7</v>
      </c>
      <c r="D159" s="20">
        <v>2</v>
      </c>
      <c r="G159" s="20">
        <f t="shared" si="3"/>
        <v>489153600</v>
      </c>
      <c r="H159" s="20">
        <v>4488</v>
      </c>
      <c r="J159" t="s">
        <v>656</v>
      </c>
      <c r="K159" s="22" t="str">
        <f t="shared" si="69"/>
        <v>span</v>
      </c>
      <c r="M159" s="23">
        <f t="shared" si="70"/>
        <v>635136</v>
      </c>
      <c r="N159" s="23">
        <f t="shared" si="71"/>
        <v>5.8028667295840588</v>
      </c>
      <c r="O159" t="s">
        <v>462</v>
      </c>
      <c r="P159">
        <v>4</v>
      </c>
      <c r="S159" t="s">
        <v>867</v>
      </c>
    </row>
    <row r="160" spans="1:19" x14ac:dyDescent="0.4">
      <c r="A160" t="s">
        <v>1415</v>
      </c>
      <c r="B160" s="20">
        <v>1987</v>
      </c>
      <c r="C160" s="24">
        <v>7</v>
      </c>
      <c r="D160" s="20">
        <v>2</v>
      </c>
      <c r="G160" s="20">
        <f t="shared" si="3"/>
        <v>552225600</v>
      </c>
      <c r="J160" t="s">
        <v>656</v>
      </c>
      <c r="K160" s="22" t="str">
        <f t="shared" si="69"/>
        <v>point</v>
      </c>
      <c r="M160" s="23">
        <f t="shared" si="70"/>
        <v>652656</v>
      </c>
      <c r="N160" s="23">
        <f t="shared" si="71"/>
        <v>5.8146843349246851</v>
      </c>
      <c r="O160" t="s">
        <v>462</v>
      </c>
      <c r="P160">
        <v>4</v>
      </c>
      <c r="S160" t="s">
        <v>867</v>
      </c>
    </row>
    <row r="161" spans="1:19" x14ac:dyDescent="0.4">
      <c r="A161" t="s">
        <v>1415</v>
      </c>
      <c r="B161" s="20">
        <v>1988</v>
      </c>
      <c r="C161" s="24">
        <v>6</v>
      </c>
      <c r="D161" s="20">
        <v>15</v>
      </c>
      <c r="G161" s="20">
        <f t="shared" si="3"/>
        <v>582379200</v>
      </c>
      <c r="J161" t="s">
        <v>656</v>
      </c>
      <c r="K161" s="22" t="str">
        <f t="shared" si="69"/>
        <v>point</v>
      </c>
      <c r="M161" s="23">
        <f t="shared" si="70"/>
        <v>661032</v>
      </c>
      <c r="N161" s="23">
        <f t="shared" si="71"/>
        <v>5.8202224838230601</v>
      </c>
      <c r="O161" t="s">
        <v>462</v>
      </c>
      <c r="P161">
        <v>4</v>
      </c>
      <c r="S161" t="s">
        <v>867</v>
      </c>
    </row>
    <row r="162" spans="1:19" x14ac:dyDescent="0.4">
      <c r="A162" t="s">
        <v>1415</v>
      </c>
      <c r="B162" s="20">
        <v>1991</v>
      </c>
      <c r="C162" s="24">
        <v>3</v>
      </c>
      <c r="D162" s="20">
        <v>1</v>
      </c>
      <c r="G162" s="20">
        <f t="shared" si="3"/>
        <v>667828800</v>
      </c>
      <c r="H162" s="20">
        <v>5496</v>
      </c>
      <c r="J162" t="s">
        <v>656</v>
      </c>
      <c r="K162" s="22" t="str">
        <f t="shared" si="69"/>
        <v>span</v>
      </c>
      <c r="M162" s="23">
        <f t="shared" si="70"/>
        <v>684768</v>
      </c>
      <c r="N162" s="23">
        <f t="shared" si="71"/>
        <v>5.8355434570602513</v>
      </c>
      <c r="O162" t="s">
        <v>462</v>
      </c>
      <c r="P162">
        <v>4</v>
      </c>
      <c r="S162" t="s">
        <v>867</v>
      </c>
    </row>
    <row r="163" spans="1:19" x14ac:dyDescent="0.4">
      <c r="A163" t="s">
        <v>1415</v>
      </c>
      <c r="B163" s="20">
        <v>1994</v>
      </c>
      <c r="C163" s="24">
        <v>7</v>
      </c>
      <c r="D163" s="20">
        <v>21</v>
      </c>
      <c r="G163" s="20">
        <f t="shared" si="3"/>
        <v>774792000</v>
      </c>
      <c r="J163" t="s">
        <v>656</v>
      </c>
      <c r="K163" s="22" t="str">
        <f t="shared" si="69"/>
        <v>point</v>
      </c>
      <c r="M163" s="23">
        <f t="shared" si="70"/>
        <v>714480</v>
      </c>
      <c r="N163" s="23">
        <f t="shared" si="71"/>
        <v>5.8539900763583308</v>
      </c>
      <c r="O163" t="s">
        <v>462</v>
      </c>
      <c r="P163">
        <v>4</v>
      </c>
      <c r="S163" t="s">
        <v>867</v>
      </c>
    </row>
    <row r="164" spans="1:19" x14ac:dyDescent="0.4">
      <c r="A164" t="s">
        <v>1415</v>
      </c>
      <c r="B164" s="20">
        <v>1997</v>
      </c>
      <c r="C164" s="24">
        <v>11</v>
      </c>
      <c r="D164" s="20">
        <v>22</v>
      </c>
      <c r="G164" s="20">
        <f t="shared" si="3"/>
        <v>880200000</v>
      </c>
      <c r="H164" s="20">
        <v>119016</v>
      </c>
      <c r="J164" t="s">
        <v>656</v>
      </c>
      <c r="K164" s="22" t="str">
        <f t="shared" si="69"/>
        <v>span</v>
      </c>
      <c r="M164" s="23">
        <f t="shared" si="70"/>
        <v>743760</v>
      </c>
      <c r="N164" s="23">
        <f t="shared" si="71"/>
        <v>5.8714328179508888</v>
      </c>
      <c r="O164" t="s">
        <v>462</v>
      </c>
      <c r="P164">
        <v>5</v>
      </c>
      <c r="Q164" t="s">
        <v>1056</v>
      </c>
      <c r="S164" t="s">
        <v>867</v>
      </c>
    </row>
    <row r="165" spans="1:19" x14ac:dyDescent="0.4">
      <c r="A165" t="s">
        <v>1415</v>
      </c>
      <c r="B165" s="20">
        <v>2013</v>
      </c>
      <c r="C165" s="24">
        <v>1</v>
      </c>
      <c r="D165" s="20">
        <v>6</v>
      </c>
      <c r="G165" s="20">
        <f t="shared" si="3"/>
        <v>1357473600</v>
      </c>
      <c r="H165" s="20">
        <v>36504</v>
      </c>
      <c r="J165" t="s">
        <v>656</v>
      </c>
      <c r="K165" s="22" t="str">
        <f t="shared" si="69"/>
        <v>span</v>
      </c>
      <c r="M165" s="23">
        <f t="shared" si="70"/>
        <v>876336</v>
      </c>
      <c r="N165" s="23">
        <f t="shared" si="71"/>
        <v>5.9426706529350337</v>
      </c>
      <c r="O165" t="s">
        <v>462</v>
      </c>
      <c r="P165">
        <v>4</v>
      </c>
      <c r="S165" t="s">
        <v>867</v>
      </c>
    </row>
    <row r="166" spans="1:19" x14ac:dyDescent="0.4">
      <c r="A166" t="s">
        <v>1415</v>
      </c>
      <c r="B166" s="20">
        <v>2019</v>
      </c>
      <c r="C166" s="24">
        <v>5</v>
      </c>
      <c r="D166" s="20">
        <v>11</v>
      </c>
      <c r="G166" s="20">
        <f t="shared" si="3"/>
        <v>1557576000</v>
      </c>
      <c r="H166" s="20">
        <v>1488</v>
      </c>
      <c r="J166" t="s">
        <v>656</v>
      </c>
      <c r="K166" s="22" t="str">
        <f t="shared" si="69"/>
        <v>span</v>
      </c>
      <c r="M166" s="23">
        <f t="shared" si="70"/>
        <v>931920</v>
      </c>
      <c r="N166" s="23">
        <f t="shared" si="71"/>
        <v>5.9693786322576532</v>
      </c>
      <c r="O166" t="s">
        <v>462</v>
      </c>
      <c r="P166">
        <v>4</v>
      </c>
      <c r="S166" t="s">
        <v>867</v>
      </c>
    </row>
    <row r="167" spans="1:19" x14ac:dyDescent="0.4">
      <c r="A167" t="s">
        <v>1472</v>
      </c>
      <c r="B167" s="24">
        <v>1846</v>
      </c>
      <c r="C167" s="24">
        <v>6</v>
      </c>
      <c r="D167" s="24">
        <v>30</v>
      </c>
      <c r="G167" s="20">
        <f t="shared" si="3"/>
        <v>56060769600</v>
      </c>
      <c r="H167" s="20">
        <f>7*365*24</f>
        <v>61320</v>
      </c>
      <c r="J167" s="22" t="s">
        <v>1050</v>
      </c>
      <c r="K167" s="22" t="str">
        <f t="shared" ref="K167:K376" si="72">IF(H167="",IF(I167="","point","middle"),"span")</f>
        <v>span</v>
      </c>
      <c r="M167" s="23">
        <f t="shared" ref="M167" si="73">(G167--1197115200)/3600</f>
        <v>15904968</v>
      </c>
      <c r="N167" s="23">
        <f t="shared" ref="N167" si="74">IF(M167=0,0, IF(M167&gt;0,LOG10(M167), -LOG10(-1*M167)))</f>
        <v>7.2015327996654888</v>
      </c>
      <c r="O167" t="s">
        <v>538</v>
      </c>
      <c r="P167">
        <v>3</v>
      </c>
      <c r="Q167" t="s">
        <v>1060</v>
      </c>
      <c r="S167" t="s">
        <v>1059</v>
      </c>
    </row>
    <row r="168" spans="1:19" x14ac:dyDescent="0.4">
      <c r="A168" t="s">
        <v>1472</v>
      </c>
      <c r="B168" s="24">
        <v>1907</v>
      </c>
      <c r="C168" s="24">
        <v>1</v>
      </c>
      <c r="D168" s="24">
        <v>1</v>
      </c>
      <c r="G168" s="20">
        <f t="shared" si="3"/>
        <v>-1988107200</v>
      </c>
      <c r="H168" s="20">
        <f>9*365*24</f>
        <v>78840</v>
      </c>
      <c r="J168" s="22" t="s">
        <v>656</v>
      </c>
      <c r="K168" s="22" t="str">
        <f t="shared" si="72"/>
        <v>span</v>
      </c>
      <c r="O168" t="s">
        <v>462</v>
      </c>
      <c r="P168">
        <v>3</v>
      </c>
      <c r="Q168" t="s">
        <v>1275</v>
      </c>
      <c r="S168" t="s">
        <v>1059</v>
      </c>
    </row>
    <row r="169" spans="1:19" x14ac:dyDescent="0.4">
      <c r="A169" t="s">
        <v>1472</v>
      </c>
      <c r="B169" s="24">
        <v>1914</v>
      </c>
      <c r="C169" s="24">
        <v>9</v>
      </c>
      <c r="D169" s="24">
        <v>8</v>
      </c>
      <c r="G169" s="20">
        <f t="shared" si="3"/>
        <v>-1745582400</v>
      </c>
      <c r="J169" s="22" t="s">
        <v>656</v>
      </c>
      <c r="K169" s="22" t="str">
        <f t="shared" si="72"/>
        <v>point</v>
      </c>
      <c r="O169" t="s">
        <v>462</v>
      </c>
      <c r="P169">
        <v>4</v>
      </c>
      <c r="Q169" t="s">
        <v>1277</v>
      </c>
      <c r="S169" t="s">
        <v>1059</v>
      </c>
    </row>
    <row r="170" spans="1:19" x14ac:dyDescent="0.4">
      <c r="A170" t="s">
        <v>1472</v>
      </c>
      <c r="B170" s="24">
        <v>1916</v>
      </c>
      <c r="G170" s="20">
        <f t="shared" si="3"/>
        <v>-1688428800</v>
      </c>
      <c r="J170" s="22" t="s">
        <v>656</v>
      </c>
      <c r="K170" s="22" t="str">
        <f t="shared" si="72"/>
        <v>point</v>
      </c>
      <c r="O170" t="s">
        <v>462</v>
      </c>
      <c r="P170">
        <v>-1</v>
      </c>
      <c r="Q170" t="s">
        <v>1274</v>
      </c>
      <c r="S170" t="s">
        <v>1059</v>
      </c>
    </row>
    <row r="171" spans="1:19" x14ac:dyDescent="0.4">
      <c r="A171" t="s">
        <v>1472</v>
      </c>
      <c r="B171" s="24">
        <v>1916</v>
      </c>
      <c r="C171" s="24">
        <v>1</v>
      </c>
      <c r="D171" s="24">
        <v>1</v>
      </c>
      <c r="G171" s="20">
        <f t="shared" si="3"/>
        <v>-1704110400</v>
      </c>
      <c r="H171" s="20">
        <f>10*365*24</f>
        <v>87600</v>
      </c>
      <c r="J171" s="22" t="s">
        <v>656</v>
      </c>
      <c r="K171" s="22" t="str">
        <f t="shared" ref="K171" si="75">IF(H171="",IF(I171="","point","middle"),"span")</f>
        <v>span</v>
      </c>
      <c r="O171" t="s">
        <v>462</v>
      </c>
      <c r="P171">
        <v>4</v>
      </c>
      <c r="Q171" t="s">
        <v>1276</v>
      </c>
      <c r="S171" t="s">
        <v>1059</v>
      </c>
    </row>
    <row r="172" spans="1:19" x14ac:dyDescent="0.4">
      <c r="A172" t="s">
        <v>1472</v>
      </c>
      <c r="B172" s="24">
        <v>1926</v>
      </c>
      <c r="G172" s="20">
        <f t="shared" si="3"/>
        <v>-1372896000</v>
      </c>
      <c r="J172" s="22" t="s">
        <v>656</v>
      </c>
      <c r="K172" s="22" t="str">
        <f t="shared" ref="K172:K175" si="76">IF(H172="",IF(I172="","point","middle"),"span")</f>
        <v>point</v>
      </c>
      <c r="O172" t="s">
        <v>462</v>
      </c>
      <c r="P172">
        <v>2</v>
      </c>
      <c r="Q172" t="s">
        <v>1278</v>
      </c>
      <c r="S172" t="s">
        <v>1059</v>
      </c>
    </row>
    <row r="173" spans="1:19" x14ac:dyDescent="0.4">
      <c r="A173" t="s">
        <v>1472</v>
      </c>
      <c r="B173" s="24">
        <v>1927</v>
      </c>
      <c r="C173" s="24">
        <v>11</v>
      </c>
      <c r="D173" s="24">
        <v>2</v>
      </c>
      <c r="G173" s="20">
        <f t="shared" si="3"/>
        <v>-1330603200</v>
      </c>
      <c r="H173" s="20">
        <f>14*30*24</f>
        <v>10080</v>
      </c>
      <c r="J173" s="22" t="s">
        <v>656</v>
      </c>
      <c r="K173" s="22" t="str">
        <f t="shared" si="76"/>
        <v>span</v>
      </c>
      <c r="O173" t="s">
        <v>462</v>
      </c>
      <c r="P173">
        <v>3</v>
      </c>
      <c r="Q173" t="s">
        <v>1280</v>
      </c>
      <c r="S173" t="s">
        <v>1059</v>
      </c>
    </row>
    <row r="174" spans="1:19" x14ac:dyDescent="0.4">
      <c r="A174" t="s">
        <v>1472</v>
      </c>
      <c r="B174" s="24">
        <v>1928</v>
      </c>
      <c r="C174" s="24">
        <v>12</v>
      </c>
      <c r="D174" s="24">
        <v>1</v>
      </c>
      <c r="G174" s="20">
        <f t="shared" si="3"/>
        <v>-1296475200</v>
      </c>
      <c r="J174" s="22" t="s">
        <v>656</v>
      </c>
      <c r="K174" s="22" t="str">
        <f t="shared" si="76"/>
        <v>point</v>
      </c>
      <c r="O174" t="s">
        <v>462</v>
      </c>
      <c r="P174">
        <v>-1</v>
      </c>
      <c r="Q174" t="s">
        <v>1279</v>
      </c>
      <c r="S174" t="s">
        <v>1059</v>
      </c>
    </row>
    <row r="175" spans="1:19" x14ac:dyDescent="0.4">
      <c r="A175" t="s">
        <v>1472</v>
      </c>
      <c r="B175" s="24">
        <v>1929</v>
      </c>
      <c r="C175" s="24">
        <v>6</v>
      </c>
      <c r="G175" s="20">
        <f t="shared" si="3"/>
        <v>-1279497600</v>
      </c>
      <c r="H175" s="20">
        <f>2.5*365*24</f>
        <v>21900</v>
      </c>
      <c r="J175" s="22" t="s">
        <v>656</v>
      </c>
      <c r="K175" s="22" t="str">
        <f t="shared" si="76"/>
        <v>span</v>
      </c>
      <c r="O175" t="s">
        <v>462</v>
      </c>
      <c r="P175">
        <v>4</v>
      </c>
      <c r="Q175" t="s">
        <v>1281</v>
      </c>
      <c r="S175" t="s">
        <v>1059</v>
      </c>
    </row>
    <row r="176" spans="1:19" x14ac:dyDescent="0.4">
      <c r="A176" t="s">
        <v>1472</v>
      </c>
      <c r="B176" s="24">
        <v>1932</v>
      </c>
      <c r="C176" s="24">
        <v>1</v>
      </c>
      <c r="D176" s="24">
        <v>25</v>
      </c>
      <c r="G176" s="20">
        <f t="shared" ref="G176:G182" si="77">(IF(C176="",DATE(B176,7,1),IF(D176="",DATE(B176,C176,16), IF(E176="",DATE(B176,C176,D176)+TIME(12,0,0), IF(F176="", DATE(B176,C176,D176)+TIME(E176,0,0),DATE(B176,C176,D176)+TIME(E176,F176,0))))) - 25569)*86400</f>
        <v>-1197115200</v>
      </c>
      <c r="J176" s="22" t="s">
        <v>1050</v>
      </c>
      <c r="K176" s="22" t="str">
        <f t="shared" ref="K176:K182" si="78">IF(H176="",IF(I176="","point","middle"),"span")</f>
        <v>point</v>
      </c>
      <c r="M176" s="23">
        <f>(G176--1197115200)/3600</f>
        <v>0</v>
      </c>
      <c r="N176" s="23">
        <f>IF(M176=0,0, IF(M176&gt;0,LOG10(M176), -LOG10(-1*M176)))</f>
        <v>0</v>
      </c>
      <c r="O176" t="s">
        <v>462</v>
      </c>
      <c r="P176">
        <v>4</v>
      </c>
      <c r="Q176" t="s">
        <v>1061</v>
      </c>
      <c r="S176" t="s">
        <v>1059</v>
      </c>
    </row>
    <row r="177" spans="1:19" x14ac:dyDescent="0.4">
      <c r="A177" t="s">
        <v>1472</v>
      </c>
      <c r="B177" s="24">
        <v>1932</v>
      </c>
      <c r="C177" s="24">
        <v>4</v>
      </c>
      <c r="D177" s="24">
        <v>1</v>
      </c>
      <c r="G177" s="20">
        <f t="shared" si="77"/>
        <v>-1191326400</v>
      </c>
      <c r="J177" s="22" t="s">
        <v>656</v>
      </c>
      <c r="K177" s="22" t="str">
        <f t="shared" si="78"/>
        <v>point</v>
      </c>
      <c r="O177" t="s">
        <v>462</v>
      </c>
      <c r="P177">
        <v>4</v>
      </c>
      <c r="Q177" t="s">
        <v>1282</v>
      </c>
      <c r="S177" t="s">
        <v>1059</v>
      </c>
    </row>
    <row r="178" spans="1:19" x14ac:dyDescent="0.4">
      <c r="A178" t="s">
        <v>1472</v>
      </c>
      <c r="B178" s="24">
        <v>1932</v>
      </c>
      <c r="C178" s="24">
        <v>4</v>
      </c>
      <c r="D178" s="24">
        <v>9</v>
      </c>
      <c r="E178" s="24">
        <v>7</v>
      </c>
      <c r="G178" s="20">
        <f t="shared" si="77"/>
        <v>-1190653200</v>
      </c>
      <c r="J178" s="22" t="s">
        <v>1050</v>
      </c>
      <c r="K178" s="22" t="str">
        <f t="shared" si="78"/>
        <v>point</v>
      </c>
      <c r="M178" s="23">
        <f>(G178--1197115200)/3600</f>
        <v>1795</v>
      </c>
      <c r="N178" s="23">
        <f>IF(M178=0,0, IF(M178&gt;0,LOG10(M178), -LOG10(-1*M178)))</f>
        <v>3.2540644529143381</v>
      </c>
      <c r="O178" t="s">
        <v>462</v>
      </c>
      <c r="P178">
        <v>2</v>
      </c>
      <c r="Q178" t="s">
        <v>1283</v>
      </c>
      <c r="S178" t="s">
        <v>1059</v>
      </c>
    </row>
    <row r="179" spans="1:19" x14ac:dyDescent="0.4">
      <c r="A179" t="s">
        <v>1472</v>
      </c>
      <c r="B179" s="24">
        <v>1932</v>
      </c>
      <c r="C179" s="24">
        <v>4</v>
      </c>
      <c r="D179" s="24">
        <v>9</v>
      </c>
      <c r="E179" s="24">
        <v>19</v>
      </c>
      <c r="G179" s="20">
        <f t="shared" si="77"/>
        <v>-1190610000</v>
      </c>
      <c r="J179" s="22" t="s">
        <v>656</v>
      </c>
      <c r="K179" s="22" t="str">
        <f t="shared" si="78"/>
        <v>point</v>
      </c>
      <c r="O179" t="s">
        <v>462</v>
      </c>
      <c r="P179">
        <v>3</v>
      </c>
      <c r="Q179" t="s">
        <v>1284</v>
      </c>
      <c r="S179" t="s">
        <v>1059</v>
      </c>
    </row>
    <row r="180" spans="1:19" x14ac:dyDescent="0.4">
      <c r="A180" t="s">
        <v>1472</v>
      </c>
      <c r="B180" s="24">
        <v>1932</v>
      </c>
      <c r="C180" s="24">
        <v>4</v>
      </c>
      <c r="D180" s="24">
        <v>10</v>
      </c>
      <c r="E180" s="24">
        <v>0</v>
      </c>
      <c r="G180" s="20">
        <f t="shared" si="77"/>
        <v>-1190592000</v>
      </c>
      <c r="J180" s="22" t="s">
        <v>656</v>
      </c>
      <c r="K180" s="22" t="str">
        <f t="shared" si="78"/>
        <v>point</v>
      </c>
      <c r="O180" t="s">
        <v>462</v>
      </c>
      <c r="P180">
        <v>2</v>
      </c>
      <c r="Q180" t="s">
        <v>1285</v>
      </c>
      <c r="S180" t="s">
        <v>1059</v>
      </c>
    </row>
    <row r="181" spans="1:19" x14ac:dyDescent="0.4">
      <c r="A181" t="s">
        <v>1472</v>
      </c>
      <c r="B181" s="24">
        <v>1932</v>
      </c>
      <c r="C181" s="24">
        <v>4</v>
      </c>
      <c r="D181" s="24">
        <v>10</v>
      </c>
      <c r="E181" s="24">
        <v>10</v>
      </c>
      <c r="G181" s="20">
        <f t="shared" si="77"/>
        <v>-1190556000</v>
      </c>
      <c r="H181" s="20">
        <v>18</v>
      </c>
      <c r="J181" s="22" t="s">
        <v>1050</v>
      </c>
      <c r="K181" s="22" t="str">
        <f t="shared" si="78"/>
        <v>span</v>
      </c>
      <c r="L181" s="20" t="s">
        <v>1296</v>
      </c>
      <c r="M181" s="23">
        <f>(G181--1197115200)/3600</f>
        <v>1822</v>
      </c>
      <c r="N181" s="23">
        <f>IF(M181=0,0, IF(M181&gt;0,LOG10(M181), -LOG10(-1*M181)))</f>
        <v>3.2605483726369795</v>
      </c>
      <c r="O181" t="s">
        <v>462</v>
      </c>
      <c r="P181">
        <v>6</v>
      </c>
      <c r="Q181" t="s">
        <v>1290</v>
      </c>
      <c r="S181" t="s">
        <v>1059</v>
      </c>
    </row>
    <row r="182" spans="1:19" x14ac:dyDescent="0.4">
      <c r="A182" t="s">
        <v>1472</v>
      </c>
      <c r="B182" s="24">
        <v>1932</v>
      </c>
      <c r="C182" s="24">
        <v>4</v>
      </c>
      <c r="D182" s="24">
        <v>10</v>
      </c>
      <c r="E182" s="24">
        <v>11</v>
      </c>
      <c r="F182" s="24">
        <v>30</v>
      </c>
      <c r="G182" s="20">
        <f t="shared" si="77"/>
        <v>-1190550600</v>
      </c>
      <c r="J182" s="22" t="s">
        <v>656</v>
      </c>
      <c r="K182" s="22" t="str">
        <f t="shared" si="78"/>
        <v>point</v>
      </c>
      <c r="O182" t="s">
        <v>462</v>
      </c>
      <c r="P182">
        <v>5</v>
      </c>
      <c r="Q182" t="s">
        <v>1288</v>
      </c>
      <c r="S182" t="s">
        <v>1059</v>
      </c>
    </row>
    <row r="183" spans="1:19" x14ac:dyDescent="0.4">
      <c r="A183" t="s">
        <v>1472</v>
      </c>
      <c r="B183" s="24">
        <v>1932</v>
      </c>
      <c r="C183" s="24">
        <v>4</v>
      </c>
      <c r="D183" s="24">
        <v>10</v>
      </c>
      <c r="E183" s="24">
        <v>13</v>
      </c>
      <c r="F183" s="24">
        <v>0</v>
      </c>
      <c r="G183" s="20">
        <f t="shared" ref="G183:G194" si="79">(IF(C183="",DATE(B183,7,1),IF(D183="",DATE(B183,C183,16), IF(E183="",DATE(B183,C183,D183)+TIME(12,0,0), IF(F183="", DATE(B183,C183,D183)+TIME(E183,0,0),DATE(B183,C183,D183)+TIME(E183,F183,0))))) - 25569)*86400</f>
        <v>-1190545200</v>
      </c>
      <c r="J183" s="22" t="s">
        <v>656</v>
      </c>
      <c r="K183" s="22" t="str">
        <f t="shared" ref="K183" si="80">IF(H183="",IF(I183="","point","middle"),"span")</f>
        <v>point</v>
      </c>
      <c r="O183" t="s">
        <v>462</v>
      </c>
      <c r="P183">
        <v>4</v>
      </c>
      <c r="Q183" t="s">
        <v>1286</v>
      </c>
      <c r="S183" t="s">
        <v>1059</v>
      </c>
    </row>
    <row r="184" spans="1:19" x14ac:dyDescent="0.4">
      <c r="A184" t="s">
        <v>1472</v>
      </c>
      <c r="B184" s="24">
        <v>1932</v>
      </c>
      <c r="C184" s="24">
        <v>4</v>
      </c>
      <c r="D184" s="24">
        <v>10</v>
      </c>
      <c r="E184" s="24">
        <v>14</v>
      </c>
      <c r="F184" s="24">
        <v>0</v>
      </c>
      <c r="G184" s="20">
        <f t="shared" si="79"/>
        <v>-1190541600</v>
      </c>
      <c r="J184" s="22" t="s">
        <v>656</v>
      </c>
      <c r="K184" s="22" t="str">
        <f t="shared" ref="K184" si="81">IF(H184="",IF(I184="","point","middle"),"span")</f>
        <v>point</v>
      </c>
      <c r="O184" t="s">
        <v>462</v>
      </c>
      <c r="P184">
        <v>5</v>
      </c>
      <c r="Q184" t="s">
        <v>1291</v>
      </c>
      <c r="S184" t="s">
        <v>1059</v>
      </c>
    </row>
    <row r="185" spans="1:19" x14ac:dyDescent="0.4">
      <c r="A185" t="s">
        <v>1472</v>
      </c>
      <c r="B185" s="24">
        <v>1932</v>
      </c>
      <c r="C185" s="24">
        <v>4</v>
      </c>
      <c r="D185" s="24">
        <v>10</v>
      </c>
      <c r="E185" s="24">
        <v>16</v>
      </c>
      <c r="F185" s="24">
        <v>0</v>
      </c>
      <c r="G185" s="20">
        <f t="shared" si="79"/>
        <v>-1190534400</v>
      </c>
      <c r="J185" s="22" t="s">
        <v>656</v>
      </c>
      <c r="K185" s="22" t="str">
        <f t="shared" ref="K185:K191" si="82">IF(H185="",IF(I185="","point","middle"),"span")</f>
        <v>point</v>
      </c>
      <c r="O185" t="s">
        <v>462</v>
      </c>
      <c r="P185">
        <v>5</v>
      </c>
      <c r="Q185" t="s">
        <v>1287</v>
      </c>
      <c r="S185" t="s">
        <v>1059</v>
      </c>
    </row>
    <row r="186" spans="1:19" x14ac:dyDescent="0.4">
      <c r="A186" t="s">
        <v>1472</v>
      </c>
      <c r="B186" s="24">
        <v>1932</v>
      </c>
      <c r="C186" s="24">
        <v>4</v>
      </c>
      <c r="D186" s="24">
        <v>10</v>
      </c>
      <c r="E186" s="24">
        <v>16</v>
      </c>
      <c r="F186" s="24">
        <v>0</v>
      </c>
      <c r="G186" s="20">
        <f t="shared" si="79"/>
        <v>-1190534400</v>
      </c>
      <c r="J186" s="22" t="s">
        <v>656</v>
      </c>
      <c r="K186" s="22" t="str">
        <f t="shared" si="82"/>
        <v>point</v>
      </c>
      <c r="O186" t="s">
        <v>462</v>
      </c>
      <c r="P186">
        <v>6</v>
      </c>
      <c r="Q186" t="s">
        <v>1289</v>
      </c>
      <c r="S186" t="s">
        <v>1059</v>
      </c>
    </row>
    <row r="187" spans="1:19" x14ac:dyDescent="0.4">
      <c r="A187" t="s">
        <v>1472</v>
      </c>
      <c r="B187" s="24">
        <v>1932</v>
      </c>
      <c r="C187" s="24">
        <v>4</v>
      </c>
      <c r="D187" s="24">
        <v>10</v>
      </c>
      <c r="E187" s="24">
        <v>17</v>
      </c>
      <c r="F187" s="24">
        <v>0</v>
      </c>
      <c r="G187" s="20">
        <f t="shared" si="79"/>
        <v>-1190530800</v>
      </c>
      <c r="J187" s="22" t="s">
        <v>656</v>
      </c>
      <c r="K187" s="22" t="str">
        <f t="shared" si="82"/>
        <v>point</v>
      </c>
      <c r="O187" t="s">
        <v>462</v>
      </c>
      <c r="P187">
        <v>6</v>
      </c>
      <c r="Q187" t="s">
        <v>1294</v>
      </c>
      <c r="S187" t="s">
        <v>1059</v>
      </c>
    </row>
    <row r="188" spans="1:19" x14ac:dyDescent="0.4">
      <c r="A188" t="s">
        <v>1472</v>
      </c>
      <c r="B188" s="24">
        <v>1932</v>
      </c>
      <c r="C188" s="24">
        <v>4</v>
      </c>
      <c r="D188" s="24">
        <v>10</v>
      </c>
      <c r="E188" s="24">
        <v>19</v>
      </c>
      <c r="F188" s="24">
        <v>0</v>
      </c>
      <c r="G188" s="20">
        <f t="shared" si="79"/>
        <v>-1190523600</v>
      </c>
      <c r="H188" s="20">
        <f>10</f>
        <v>10</v>
      </c>
      <c r="J188" s="22" t="s">
        <v>656</v>
      </c>
      <c r="K188" s="22" t="str">
        <f t="shared" si="82"/>
        <v>span</v>
      </c>
      <c r="O188" t="s">
        <v>462</v>
      </c>
      <c r="P188">
        <v>5</v>
      </c>
      <c r="Q188" t="s">
        <v>1293</v>
      </c>
      <c r="S188" t="s">
        <v>1059</v>
      </c>
    </row>
    <row r="189" spans="1:19" x14ac:dyDescent="0.4">
      <c r="A189" t="s">
        <v>1472</v>
      </c>
      <c r="B189" s="24">
        <v>1932</v>
      </c>
      <c r="C189" s="24">
        <v>4</v>
      </c>
      <c r="D189" s="24">
        <v>10</v>
      </c>
      <c r="E189" s="24">
        <v>21</v>
      </c>
      <c r="F189" s="24">
        <v>0</v>
      </c>
      <c r="G189" s="20">
        <f t="shared" si="79"/>
        <v>-1190516400</v>
      </c>
      <c r="H189" s="24">
        <v>2</v>
      </c>
      <c r="J189" s="22" t="s">
        <v>656</v>
      </c>
      <c r="K189" s="22" t="str">
        <f t="shared" si="82"/>
        <v>span</v>
      </c>
      <c r="L189" s="20" t="s">
        <v>671</v>
      </c>
      <c r="O189" t="s">
        <v>462</v>
      </c>
      <c r="P189">
        <v>6</v>
      </c>
      <c r="Q189" t="s">
        <v>1292</v>
      </c>
      <c r="S189" t="s">
        <v>1059</v>
      </c>
    </row>
    <row r="190" spans="1:19" x14ac:dyDescent="0.4">
      <c r="A190" t="s">
        <v>1472</v>
      </c>
      <c r="B190" s="24">
        <v>1932</v>
      </c>
      <c r="C190" s="24">
        <v>4</v>
      </c>
      <c r="D190" s="24">
        <v>11</v>
      </c>
      <c r="E190" s="24">
        <v>5</v>
      </c>
      <c r="F190" s="24">
        <v>0</v>
      </c>
      <c r="G190" s="20">
        <f t="shared" si="79"/>
        <v>-1190487600</v>
      </c>
      <c r="H190" s="24"/>
      <c r="J190" s="22" t="s">
        <v>656</v>
      </c>
      <c r="K190" s="22" t="str">
        <f t="shared" si="82"/>
        <v>point</v>
      </c>
      <c r="O190" t="s">
        <v>462</v>
      </c>
      <c r="P190">
        <v>4</v>
      </c>
      <c r="Q190" t="s">
        <v>1295</v>
      </c>
      <c r="S190" t="s">
        <v>1059</v>
      </c>
    </row>
    <row r="191" spans="1:19" x14ac:dyDescent="0.4">
      <c r="A191" t="s">
        <v>1472</v>
      </c>
      <c r="B191" s="24">
        <v>1932</v>
      </c>
      <c r="C191" s="24">
        <v>4</v>
      </c>
      <c r="D191" s="24">
        <v>11</v>
      </c>
      <c r="G191" s="20">
        <f t="shared" si="79"/>
        <v>-1190462400</v>
      </c>
      <c r="H191" s="24">
        <f>10*24</f>
        <v>240</v>
      </c>
      <c r="J191" s="22" t="s">
        <v>656</v>
      </c>
      <c r="K191" s="22" t="str">
        <f t="shared" si="82"/>
        <v>span</v>
      </c>
      <c r="O191" t="s">
        <v>462</v>
      </c>
      <c r="P191">
        <v>4</v>
      </c>
      <c r="Q191" t="s">
        <v>1297</v>
      </c>
      <c r="S191" t="s">
        <v>1059</v>
      </c>
    </row>
    <row r="192" spans="1:19" x14ac:dyDescent="0.4">
      <c r="A192" t="s">
        <v>1472</v>
      </c>
      <c r="B192" s="24">
        <v>1932</v>
      </c>
      <c r="C192" s="24">
        <v>4</v>
      </c>
      <c r="D192" s="24">
        <v>21</v>
      </c>
      <c r="G192" s="20">
        <f t="shared" si="79"/>
        <v>-1189598400</v>
      </c>
      <c r="H192" s="24"/>
      <c r="J192" s="22" t="s">
        <v>656</v>
      </c>
      <c r="K192" s="22" t="str">
        <f t="shared" ref="K192:K197" si="83">IF(H192="",IF(I192="","point","middle"),"span")</f>
        <v>point</v>
      </c>
      <c r="O192" t="s">
        <v>462</v>
      </c>
      <c r="P192">
        <v>2</v>
      </c>
      <c r="Q192" t="s">
        <v>1298</v>
      </c>
      <c r="S192" t="s">
        <v>1059</v>
      </c>
    </row>
    <row r="193" spans="1:19" x14ac:dyDescent="0.4">
      <c r="A193" t="s">
        <v>1472</v>
      </c>
      <c r="B193" s="24">
        <v>1932</v>
      </c>
      <c r="C193" s="24">
        <v>4</v>
      </c>
      <c r="D193" s="24">
        <v>23</v>
      </c>
      <c r="G193" s="20">
        <f t="shared" si="79"/>
        <v>-1189425600</v>
      </c>
      <c r="I193" s="20">
        <f>5*24</f>
        <v>120</v>
      </c>
      <c r="J193" s="22" t="s">
        <v>656</v>
      </c>
      <c r="K193" s="22" t="str">
        <f t="shared" si="83"/>
        <v>middle</v>
      </c>
      <c r="O193" t="s">
        <v>462</v>
      </c>
      <c r="P193">
        <v>-1</v>
      </c>
      <c r="Q193" t="s">
        <v>1299</v>
      </c>
      <c r="S193" t="s">
        <v>1059</v>
      </c>
    </row>
    <row r="194" spans="1:19" x14ac:dyDescent="0.4">
      <c r="A194" t="s">
        <v>1472</v>
      </c>
      <c r="B194" s="24">
        <v>1932</v>
      </c>
      <c r="C194" s="24">
        <v>6</v>
      </c>
      <c r="D194" s="24">
        <v>1</v>
      </c>
      <c r="G194" s="20">
        <f t="shared" si="79"/>
        <v>-1186056000</v>
      </c>
      <c r="I194" s="20">
        <f>31*24</f>
        <v>744</v>
      </c>
      <c r="J194" s="22" t="s">
        <v>656</v>
      </c>
      <c r="K194" s="22" t="str">
        <f t="shared" si="83"/>
        <v>middle</v>
      </c>
      <c r="O194" t="s">
        <v>462</v>
      </c>
      <c r="P194">
        <v>-1</v>
      </c>
      <c r="Q194" t="s">
        <v>1300</v>
      </c>
      <c r="S194" t="s">
        <v>1059</v>
      </c>
    </row>
    <row r="195" spans="1:19" x14ac:dyDescent="0.4">
      <c r="A195" t="s">
        <v>1472</v>
      </c>
      <c r="B195" s="24">
        <v>1934</v>
      </c>
      <c r="C195" s="24">
        <v>2</v>
      </c>
      <c r="G195" s="20">
        <f>(IF(C195="",DATE(B195,7,1),IF(D195="",DATE(B195,C195,16), IF(E195="",DATE(B195,C195,D195)+TIME(12,0,0), IF(F195="", DATE(B195,C195,D195)+TIME(E195,0,0),DATE(B195,C195,D195)+TIME(E195,F195,0))))) - 25569)*86400</f>
        <v>-1132099200</v>
      </c>
      <c r="H195" s="24"/>
      <c r="J195" s="22" t="s">
        <v>656</v>
      </c>
      <c r="K195" s="22" t="str">
        <f t="shared" si="83"/>
        <v>point</v>
      </c>
      <c r="O195" t="s">
        <v>462</v>
      </c>
      <c r="P195">
        <v>1</v>
      </c>
      <c r="Q195" t="s">
        <v>1301</v>
      </c>
      <c r="S195" t="s">
        <v>1059</v>
      </c>
    </row>
    <row r="196" spans="1:19" x14ac:dyDescent="0.4">
      <c r="A196" t="s">
        <v>1472</v>
      </c>
      <c r="B196" s="24">
        <v>1949</v>
      </c>
      <c r="G196" s="20">
        <f t="shared" ref="G196:G197" si="84">(IF(C196="",DATE(B196,7,1),IF(D196="",DATE(B196,C196,16), IF(E196="",DATE(B196,C196,D196)+TIME(12,0,0), IF(F196="", DATE(B196,C196,D196)+TIME(E196,0,0),DATE(B196,C196,D196)+TIME(E196,F196,0))))) - 25569)*86400</f>
        <v>-647049600</v>
      </c>
      <c r="J196" s="22" t="s">
        <v>656</v>
      </c>
      <c r="K196" s="22" t="str">
        <f t="shared" si="83"/>
        <v>point</v>
      </c>
      <c r="O196" t="s">
        <v>462</v>
      </c>
      <c r="P196">
        <v>4</v>
      </c>
      <c r="Q196" t="s">
        <v>1302</v>
      </c>
      <c r="S196" t="s">
        <v>1059</v>
      </c>
    </row>
    <row r="197" spans="1:19" x14ac:dyDescent="0.4">
      <c r="A197" t="s">
        <v>1472</v>
      </c>
      <c r="B197" s="24">
        <v>1967</v>
      </c>
      <c r="G197" s="20">
        <f t="shared" si="84"/>
        <v>-79056000</v>
      </c>
      <c r="J197" s="22" t="s">
        <v>656</v>
      </c>
      <c r="K197" s="22" t="str">
        <f t="shared" si="83"/>
        <v>point</v>
      </c>
      <c r="O197" t="s">
        <v>462</v>
      </c>
      <c r="P197">
        <v>4</v>
      </c>
      <c r="Q197" t="s">
        <v>1302</v>
      </c>
      <c r="S197" t="s">
        <v>1059</v>
      </c>
    </row>
    <row r="198" spans="1:19" x14ac:dyDescent="0.4">
      <c r="A198" t="s">
        <v>1473</v>
      </c>
      <c r="B198" s="24">
        <v>1893</v>
      </c>
      <c r="C198" s="24">
        <v>1</v>
      </c>
      <c r="D198" s="24">
        <v>7</v>
      </c>
      <c r="G198" s="20">
        <f t="shared" ref="G198:G382" si="85">(IF(C198="",DATE(B198,7,1),IF(D198="",DATE(B198,C198,16), IF(E198="",DATE(B198,C198,D198)+TIME(12,0,0), IF(F198="", DATE(B198,C198,D198)+TIME(E198,0,0),DATE(B198,C198,D198)+TIME(E198,F198,0))))) - 25569)*86400</f>
        <v>57528964800</v>
      </c>
      <c r="J198" s="22" t="s">
        <v>1050</v>
      </c>
      <c r="K198" s="22" t="str">
        <f t="shared" si="72"/>
        <v>point</v>
      </c>
      <c r="M198" s="23">
        <f t="shared" ref="M198:M212" si="86">(G198-1429736760)/3600</f>
        <v>15583118.9</v>
      </c>
      <c r="N198" s="23">
        <f t="shared" ref="N198:N211" si="87">IF(M198=0,0, IF(M198&gt;0,LOG10(M198), -LOG10(-1*M198)))</f>
        <v>7.1926543843698916</v>
      </c>
      <c r="O198" t="s">
        <v>462</v>
      </c>
      <c r="P198">
        <v>5</v>
      </c>
      <c r="Q198" t="s">
        <v>551</v>
      </c>
      <c r="S198" t="s">
        <v>530</v>
      </c>
    </row>
    <row r="199" spans="1:19" x14ac:dyDescent="0.4">
      <c r="A199" t="s">
        <v>1473</v>
      </c>
      <c r="B199" s="24">
        <v>1894</v>
      </c>
      <c r="C199" s="24">
        <v>11</v>
      </c>
      <c r="D199" s="24">
        <v>16</v>
      </c>
      <c r="G199" s="20">
        <f t="shared" si="85"/>
        <v>57587544000</v>
      </c>
      <c r="J199" t="s">
        <v>1050</v>
      </c>
      <c r="K199" s="22" t="str">
        <f t="shared" si="72"/>
        <v>point</v>
      </c>
      <c r="M199" s="23">
        <f t="shared" si="86"/>
        <v>15599390.9</v>
      </c>
      <c r="N199" s="23">
        <f t="shared" si="87"/>
        <v>7.1931076410510446</v>
      </c>
      <c r="O199" t="s">
        <v>462</v>
      </c>
      <c r="P199">
        <v>4</v>
      </c>
      <c r="S199" t="s">
        <v>867</v>
      </c>
    </row>
    <row r="200" spans="1:19" x14ac:dyDescent="0.4">
      <c r="A200" t="s">
        <v>1473</v>
      </c>
      <c r="B200" s="24">
        <v>1906</v>
      </c>
      <c r="G200" s="20">
        <f t="shared" si="85"/>
        <v>-2004048000</v>
      </c>
      <c r="J200" t="s">
        <v>1050</v>
      </c>
      <c r="K200" s="22" t="str">
        <f t="shared" si="72"/>
        <v>point</v>
      </c>
      <c r="M200" s="23">
        <f t="shared" si="86"/>
        <v>-953829.1</v>
      </c>
      <c r="N200" s="23">
        <f t="shared" si="87"/>
        <v>-5.9794705680209326</v>
      </c>
      <c r="O200" t="s">
        <v>462</v>
      </c>
      <c r="P200">
        <v>4</v>
      </c>
      <c r="S200" t="s">
        <v>867</v>
      </c>
    </row>
    <row r="201" spans="1:19" x14ac:dyDescent="0.4">
      <c r="A201" t="s">
        <v>1473</v>
      </c>
      <c r="B201" s="24">
        <v>1907</v>
      </c>
      <c r="C201" s="24">
        <v>4</v>
      </c>
      <c r="D201" s="24">
        <v>22</v>
      </c>
      <c r="G201" s="20">
        <f t="shared" si="85"/>
        <v>-1978516800</v>
      </c>
      <c r="J201" t="s">
        <v>1050</v>
      </c>
      <c r="K201" s="22" t="str">
        <f t="shared" si="72"/>
        <v>point</v>
      </c>
      <c r="M201" s="23">
        <f t="shared" si="86"/>
        <v>-946737.1</v>
      </c>
      <c r="N201" s="23">
        <f t="shared" si="87"/>
        <v>-5.9762293962465369</v>
      </c>
      <c r="O201" t="s">
        <v>462</v>
      </c>
      <c r="P201">
        <v>4</v>
      </c>
      <c r="S201" t="s">
        <v>867</v>
      </c>
    </row>
    <row r="202" spans="1:19" x14ac:dyDescent="0.4">
      <c r="A202" t="s">
        <v>1473</v>
      </c>
      <c r="B202" s="24">
        <v>1909</v>
      </c>
      <c r="C202" s="24">
        <v>3</v>
      </c>
      <c r="G202" s="20">
        <f t="shared" si="85"/>
        <v>-1918598400</v>
      </c>
      <c r="J202" t="s">
        <v>1050</v>
      </c>
      <c r="K202" s="22" t="str">
        <f t="shared" si="72"/>
        <v>point</v>
      </c>
      <c r="M202" s="23">
        <f t="shared" si="86"/>
        <v>-930093.1</v>
      </c>
      <c r="N202" s="23">
        <f t="shared" si="87"/>
        <v>-5.968526422524457</v>
      </c>
      <c r="O202" t="s">
        <v>462</v>
      </c>
      <c r="P202">
        <v>4</v>
      </c>
      <c r="S202" t="s">
        <v>867</v>
      </c>
    </row>
    <row r="203" spans="1:19" x14ac:dyDescent="0.4">
      <c r="A203" t="s">
        <v>1473</v>
      </c>
      <c r="B203" s="24">
        <v>1917</v>
      </c>
      <c r="C203" s="24">
        <v>4</v>
      </c>
      <c r="G203" s="20">
        <f t="shared" si="85"/>
        <v>-1663459200</v>
      </c>
      <c r="J203" t="s">
        <v>1050</v>
      </c>
      <c r="K203" s="22" t="str">
        <f t="shared" si="72"/>
        <v>point</v>
      </c>
      <c r="M203" s="23">
        <f t="shared" si="86"/>
        <v>-859221.1</v>
      </c>
      <c r="N203" s="23">
        <f t="shared" si="87"/>
        <v>-5.9341049335103353</v>
      </c>
      <c r="O203" t="s">
        <v>462</v>
      </c>
      <c r="P203">
        <v>5</v>
      </c>
      <c r="Q203" t="s">
        <v>1052</v>
      </c>
      <c r="S203" t="s">
        <v>867</v>
      </c>
    </row>
    <row r="204" spans="1:19" x14ac:dyDescent="0.4">
      <c r="A204" t="s">
        <v>1473</v>
      </c>
      <c r="B204" s="24">
        <v>1929</v>
      </c>
      <c r="C204" s="24">
        <v>1</v>
      </c>
      <c r="D204" s="24">
        <v>6</v>
      </c>
      <c r="G204" s="20">
        <f t="shared" si="85"/>
        <v>-1293364800</v>
      </c>
      <c r="J204" t="s">
        <v>1050</v>
      </c>
      <c r="K204" s="22" t="str">
        <f t="shared" si="72"/>
        <v>point</v>
      </c>
      <c r="M204" s="23">
        <f t="shared" si="86"/>
        <v>-756417.1</v>
      </c>
      <c r="N204" s="23">
        <f t="shared" si="87"/>
        <v>-5.8787613381948116</v>
      </c>
      <c r="O204" t="s">
        <v>462</v>
      </c>
      <c r="P204">
        <v>5</v>
      </c>
      <c r="Q204" t="s">
        <v>1052</v>
      </c>
      <c r="S204" t="s">
        <v>867</v>
      </c>
    </row>
    <row r="205" spans="1:19" x14ac:dyDescent="0.4">
      <c r="A205" t="s">
        <v>1473</v>
      </c>
      <c r="B205" s="24">
        <v>1932</v>
      </c>
      <c r="G205" s="20">
        <f t="shared" si="85"/>
        <v>-1183507200</v>
      </c>
      <c r="J205" t="s">
        <v>1050</v>
      </c>
      <c r="K205" s="22" t="str">
        <f t="shared" si="72"/>
        <v>point</v>
      </c>
      <c r="M205" s="23">
        <f t="shared" si="86"/>
        <v>-725901.1</v>
      </c>
      <c r="N205" s="23">
        <f t="shared" si="87"/>
        <v>-5.8608774545153901</v>
      </c>
      <c r="O205" t="s">
        <v>462</v>
      </c>
      <c r="P205">
        <v>4</v>
      </c>
      <c r="S205" t="s">
        <v>867</v>
      </c>
    </row>
    <row r="206" spans="1:19" x14ac:dyDescent="0.4">
      <c r="A206" t="s">
        <v>1473</v>
      </c>
      <c r="B206" s="24">
        <v>1945</v>
      </c>
      <c r="G206" s="20">
        <f t="shared" si="85"/>
        <v>-773280000</v>
      </c>
      <c r="J206" t="s">
        <v>1050</v>
      </c>
      <c r="K206" s="22" t="str">
        <f t="shared" si="72"/>
        <v>point</v>
      </c>
      <c r="M206" s="23">
        <f t="shared" si="86"/>
        <v>-611949.1</v>
      </c>
      <c r="N206" s="23">
        <f t="shared" si="87"/>
        <v>-5.7867153003997442</v>
      </c>
      <c r="O206" t="s">
        <v>462</v>
      </c>
      <c r="P206">
        <v>4</v>
      </c>
      <c r="S206" t="s">
        <v>867</v>
      </c>
    </row>
    <row r="207" spans="1:19" x14ac:dyDescent="0.4">
      <c r="A207" t="s">
        <v>1473</v>
      </c>
      <c r="B207" s="24">
        <v>1960</v>
      </c>
      <c r="C207" s="24">
        <v>5</v>
      </c>
      <c r="D207" s="24">
        <v>22</v>
      </c>
      <c r="E207" s="24">
        <v>19</v>
      </c>
      <c r="F207" s="24">
        <v>11</v>
      </c>
      <c r="G207" s="20">
        <f t="shared" si="85"/>
        <v>-303281339.99999994</v>
      </c>
      <c r="J207" s="22" t="s">
        <v>368</v>
      </c>
      <c r="K207" s="22" t="str">
        <f t="shared" si="72"/>
        <v>point</v>
      </c>
      <c r="M207" s="23">
        <f t="shared" si="86"/>
        <v>-481393.91666666669</v>
      </c>
      <c r="N207" s="23">
        <f t="shared" si="87"/>
        <v>-5.6825005978318419</v>
      </c>
      <c r="O207" t="s">
        <v>464</v>
      </c>
      <c r="P207">
        <v>-1</v>
      </c>
      <c r="Q207" t="s">
        <v>526</v>
      </c>
      <c r="S207" t="s">
        <v>530</v>
      </c>
    </row>
    <row r="208" spans="1:19" x14ac:dyDescent="0.4">
      <c r="A208" t="s">
        <v>1473</v>
      </c>
      <c r="B208" s="24">
        <v>1961</v>
      </c>
      <c r="C208" s="24">
        <v>2</v>
      </c>
      <c r="D208" s="24">
        <v>1</v>
      </c>
      <c r="G208" s="20">
        <f t="shared" si="85"/>
        <v>-281275200</v>
      </c>
      <c r="H208" s="20">
        <f>53*24</f>
        <v>1272</v>
      </c>
      <c r="K208" s="22" t="str">
        <f t="shared" si="72"/>
        <v>span</v>
      </c>
      <c r="M208" s="23">
        <f t="shared" si="86"/>
        <v>-475281.1</v>
      </c>
      <c r="N208" s="23">
        <f t="shared" si="87"/>
        <v>-5.6769505445095518</v>
      </c>
      <c r="O208" t="s">
        <v>462</v>
      </c>
      <c r="P208">
        <v>5</v>
      </c>
      <c r="Q208" t="s">
        <v>1051</v>
      </c>
      <c r="S208" t="s">
        <v>530</v>
      </c>
    </row>
    <row r="209" spans="1:19" x14ac:dyDescent="0.4">
      <c r="A209" t="s">
        <v>1473</v>
      </c>
      <c r="B209" s="24">
        <v>1972</v>
      </c>
      <c r="C209" s="24">
        <v>8</v>
      </c>
      <c r="D209" s="24">
        <v>26</v>
      </c>
      <c r="G209" s="20">
        <f t="shared" si="85"/>
        <v>83678400</v>
      </c>
      <c r="J209" t="s">
        <v>1050</v>
      </c>
      <c r="K209" s="22" t="str">
        <f t="shared" si="72"/>
        <v>point</v>
      </c>
      <c r="M209" s="23">
        <f t="shared" si="86"/>
        <v>-373905.1</v>
      </c>
      <c r="N209" s="23">
        <f t="shared" si="87"/>
        <v>-5.5727613888951986</v>
      </c>
      <c r="O209" t="s">
        <v>462</v>
      </c>
      <c r="P209">
        <v>4</v>
      </c>
      <c r="S209" t="s">
        <v>867</v>
      </c>
    </row>
    <row r="210" spans="1:19" x14ac:dyDescent="0.4">
      <c r="A210" t="s">
        <v>1473</v>
      </c>
      <c r="B210" s="24">
        <v>1996</v>
      </c>
      <c r="G210" s="20">
        <f t="shared" si="85"/>
        <v>836179200</v>
      </c>
      <c r="I210" s="20">
        <f t="shared" ref="I210" si="88">6*30*24</f>
        <v>4320</v>
      </c>
      <c r="K210" s="22" t="str">
        <f t="shared" si="72"/>
        <v>middle</v>
      </c>
      <c r="M210" s="23">
        <f t="shared" si="86"/>
        <v>-164877.1</v>
      </c>
      <c r="N210" s="23">
        <f t="shared" si="87"/>
        <v>-5.2171603400940967</v>
      </c>
      <c r="O210" t="s">
        <v>462</v>
      </c>
      <c r="P210">
        <v>2</v>
      </c>
      <c r="Q210" t="s">
        <v>552</v>
      </c>
      <c r="S210" t="s">
        <v>530</v>
      </c>
    </row>
    <row r="211" spans="1:19" x14ac:dyDescent="0.4">
      <c r="A211" t="s">
        <v>1473</v>
      </c>
      <c r="B211" s="24">
        <v>2015</v>
      </c>
      <c r="C211" s="24">
        <v>4</v>
      </c>
      <c r="D211" s="24">
        <v>1</v>
      </c>
      <c r="G211" s="20">
        <f t="shared" si="85"/>
        <v>1427889600</v>
      </c>
      <c r="H211" s="20">
        <f>30*24</f>
        <v>720</v>
      </c>
      <c r="K211" s="22" t="str">
        <f t="shared" si="72"/>
        <v>span</v>
      </c>
      <c r="M211" s="23">
        <f t="shared" si="86"/>
        <v>-513.1</v>
      </c>
      <c r="N211" s="23">
        <f t="shared" si="87"/>
        <v>-2.7102020146553847</v>
      </c>
      <c r="O211" t="s">
        <v>464</v>
      </c>
      <c r="P211">
        <v>1</v>
      </c>
      <c r="Q211" t="s">
        <v>553</v>
      </c>
      <c r="S211" t="s">
        <v>530</v>
      </c>
    </row>
    <row r="212" spans="1:19" x14ac:dyDescent="0.4">
      <c r="A212" t="s">
        <v>1473</v>
      </c>
      <c r="B212" s="24">
        <v>2015</v>
      </c>
      <c r="C212" s="24">
        <v>4</v>
      </c>
      <c r="D212" s="24">
        <v>22</v>
      </c>
      <c r="E212" s="24">
        <v>20</v>
      </c>
      <c r="F212" s="24">
        <v>45</v>
      </c>
      <c r="G212" s="20">
        <f t="shared" si="85"/>
        <v>1429735500.0000002</v>
      </c>
      <c r="K212" s="22" t="str">
        <f t="shared" si="72"/>
        <v>point</v>
      </c>
      <c r="M212" s="23">
        <f t="shared" si="86"/>
        <v>-0.34999999993377262</v>
      </c>
      <c r="N212" s="23">
        <f t="shared" ref="N212:N385" si="89">IF(M212=0,0, IF(M212&gt;0,LOG10(M212), -LOG10(-1*M212)))</f>
        <v>0.45593195573190204</v>
      </c>
      <c r="O212" t="s">
        <v>462</v>
      </c>
      <c r="P212">
        <v>2</v>
      </c>
      <c r="Q212" t="s">
        <v>554</v>
      </c>
      <c r="S212" t="s">
        <v>530</v>
      </c>
    </row>
    <row r="213" spans="1:19" x14ac:dyDescent="0.4">
      <c r="A213" t="s">
        <v>1473</v>
      </c>
      <c r="B213" s="24">
        <v>2015</v>
      </c>
      <c r="C213" s="24">
        <v>4</v>
      </c>
      <c r="D213" s="24">
        <v>22</v>
      </c>
      <c r="E213" s="24">
        <v>21</v>
      </c>
      <c r="F213" s="24">
        <v>6</v>
      </c>
      <c r="G213" s="20">
        <f t="shared" si="85"/>
        <v>1429736760</v>
      </c>
      <c r="H213" s="20">
        <v>1.5</v>
      </c>
      <c r="K213" s="22" t="str">
        <f t="shared" si="72"/>
        <v>span</v>
      </c>
      <c r="L213" s="20" t="s">
        <v>670</v>
      </c>
      <c r="M213" s="23">
        <f>(G213-1429736760)/3600</f>
        <v>0</v>
      </c>
      <c r="N213" s="23">
        <f t="shared" si="89"/>
        <v>0</v>
      </c>
      <c r="O213" t="s">
        <v>462</v>
      </c>
      <c r="P213">
        <v>6</v>
      </c>
      <c r="Q213" t="s">
        <v>561</v>
      </c>
      <c r="R213" t="s">
        <v>562</v>
      </c>
      <c r="S213" t="s">
        <v>530</v>
      </c>
    </row>
    <row r="214" spans="1:19" x14ac:dyDescent="0.4">
      <c r="A214" t="s">
        <v>1473</v>
      </c>
      <c r="B214" s="24">
        <v>2015</v>
      </c>
      <c r="C214" s="24">
        <v>4</v>
      </c>
      <c r="D214" s="24">
        <v>23</v>
      </c>
      <c r="E214" s="24">
        <v>0</v>
      </c>
      <c r="F214" s="24">
        <v>20</v>
      </c>
      <c r="G214" s="20">
        <f t="shared" si="85"/>
        <v>1429748400.0000002</v>
      </c>
      <c r="H214" s="20">
        <v>4</v>
      </c>
      <c r="I214" s="24"/>
      <c r="K214" s="22" t="str">
        <f t="shared" si="72"/>
        <v>span</v>
      </c>
      <c r="M214" s="23">
        <f t="shared" ref="M214" si="90">(G214-1429736760)/3600</f>
        <v>3.2333333333995609</v>
      </c>
      <c r="N214" s="23">
        <f t="shared" si="89"/>
        <v>0.50965047955547793</v>
      </c>
      <c r="O214" t="s">
        <v>462</v>
      </c>
      <c r="P214">
        <v>2</v>
      </c>
      <c r="Q214" t="s">
        <v>563</v>
      </c>
      <c r="S214" t="s">
        <v>530</v>
      </c>
    </row>
    <row r="215" spans="1:19" x14ac:dyDescent="0.4">
      <c r="A215" t="s">
        <v>1473</v>
      </c>
      <c r="B215" s="24">
        <v>2015</v>
      </c>
      <c r="C215" s="24">
        <v>4</v>
      </c>
      <c r="D215" s="24">
        <v>23</v>
      </c>
      <c r="E215" s="24">
        <v>4</v>
      </c>
      <c r="F215" s="24">
        <v>8</v>
      </c>
      <c r="G215" s="20">
        <f t="shared" si="85"/>
        <v>1429762080</v>
      </c>
      <c r="H215" s="20">
        <v>6</v>
      </c>
      <c r="K215" s="22" t="str">
        <f t="shared" si="72"/>
        <v>span</v>
      </c>
      <c r="L215" s="20" t="s">
        <v>671</v>
      </c>
      <c r="M215" s="23">
        <f t="shared" ref="M215:M217" si="91">(G215-1429736760)/3600</f>
        <v>7.0333333333333332</v>
      </c>
      <c r="N215" s="23">
        <f t="shared" si="89"/>
        <v>0.84716120057803024</v>
      </c>
      <c r="O215" t="s">
        <v>462</v>
      </c>
      <c r="P215">
        <v>6</v>
      </c>
      <c r="Q215" t="s">
        <v>564</v>
      </c>
      <c r="R215" t="s">
        <v>565</v>
      </c>
      <c r="S215" t="s">
        <v>530</v>
      </c>
    </row>
    <row r="216" spans="1:19" x14ac:dyDescent="0.4">
      <c r="A216" t="s">
        <v>1473</v>
      </c>
      <c r="B216" s="24">
        <v>2015</v>
      </c>
      <c r="C216" s="24">
        <v>4</v>
      </c>
      <c r="D216" s="24">
        <v>23</v>
      </c>
      <c r="E216" s="24">
        <v>12</v>
      </c>
      <c r="G216" s="20">
        <f t="shared" si="85"/>
        <v>1429790400</v>
      </c>
      <c r="H216" s="20">
        <f>6.5*24</f>
        <v>156</v>
      </c>
      <c r="K216" s="22" t="str">
        <f t="shared" si="72"/>
        <v>span</v>
      </c>
      <c r="M216" s="23">
        <f t="shared" si="91"/>
        <v>14.9</v>
      </c>
      <c r="N216" s="23">
        <f t="shared" si="89"/>
        <v>1.173186268412274</v>
      </c>
      <c r="O216" t="s">
        <v>462</v>
      </c>
      <c r="P216">
        <v>3</v>
      </c>
      <c r="Q216" t="s">
        <v>566</v>
      </c>
      <c r="S216" t="s">
        <v>530</v>
      </c>
    </row>
    <row r="217" spans="1:19" x14ac:dyDescent="0.4">
      <c r="A217" t="s">
        <v>1473</v>
      </c>
      <c r="B217" s="24">
        <v>2015</v>
      </c>
      <c r="C217" s="24">
        <v>4</v>
      </c>
      <c r="D217" s="24">
        <v>30</v>
      </c>
      <c r="G217" s="20">
        <f t="shared" si="85"/>
        <v>1430395200</v>
      </c>
      <c r="K217" s="22" t="str">
        <f t="shared" si="72"/>
        <v>point</v>
      </c>
      <c r="M217" s="23">
        <f t="shared" si="91"/>
        <v>182.9</v>
      </c>
      <c r="N217" s="23">
        <f t="shared" si="89"/>
        <v>2.2622137054764169</v>
      </c>
      <c r="O217" t="s">
        <v>462</v>
      </c>
      <c r="P217">
        <v>4</v>
      </c>
      <c r="Q217" t="s">
        <v>567</v>
      </c>
      <c r="S217" t="s">
        <v>530</v>
      </c>
    </row>
    <row r="218" spans="1:19" x14ac:dyDescent="0.4">
      <c r="A218" t="s">
        <v>1422</v>
      </c>
      <c r="B218" s="24">
        <v>1955</v>
      </c>
      <c r="C218" s="24">
        <v>9</v>
      </c>
      <c r="D218" s="24">
        <v>29</v>
      </c>
      <c r="G218" s="20">
        <f t="shared" si="85"/>
        <v>-449928000</v>
      </c>
      <c r="K218" s="22" t="str">
        <f t="shared" si="72"/>
        <v>point</v>
      </c>
      <c r="M218" s="23">
        <f t="shared" ref="M218:M225" si="92">(G218--447940800)/3600</f>
        <v>-552</v>
      </c>
      <c r="N218" s="23">
        <f t="shared" si="89"/>
        <v>-2.741939077729199</v>
      </c>
      <c r="O218" t="s">
        <v>464</v>
      </c>
      <c r="P218">
        <v>1</v>
      </c>
      <c r="Q218" t="s">
        <v>568</v>
      </c>
      <c r="S218" t="s">
        <v>530</v>
      </c>
    </row>
    <row r="219" spans="1:19" x14ac:dyDescent="0.4">
      <c r="A219" t="s">
        <v>1422</v>
      </c>
      <c r="B219" s="24">
        <v>1955</v>
      </c>
      <c r="C219" s="24">
        <v>10</v>
      </c>
      <c r="D219" s="24">
        <v>19</v>
      </c>
      <c r="G219" s="20">
        <f t="shared" si="85"/>
        <v>-448200000</v>
      </c>
      <c r="K219" s="22" t="str">
        <f t="shared" si="72"/>
        <v>point</v>
      </c>
      <c r="M219" s="23">
        <f t="shared" si="92"/>
        <v>-72</v>
      </c>
      <c r="N219" s="23">
        <f t="shared" si="89"/>
        <v>-1.8573324964312685</v>
      </c>
      <c r="O219" t="s">
        <v>464</v>
      </c>
      <c r="P219">
        <v>2</v>
      </c>
      <c r="Q219" t="s">
        <v>569</v>
      </c>
      <c r="S219" t="s">
        <v>530</v>
      </c>
    </row>
    <row r="220" spans="1:19" x14ac:dyDescent="0.4">
      <c r="A220" t="s">
        <v>1422</v>
      </c>
      <c r="B220" s="24">
        <v>1955</v>
      </c>
      <c r="C220" s="24">
        <v>10</v>
      </c>
      <c r="D220" s="24">
        <v>22</v>
      </c>
      <c r="G220" s="20">
        <f t="shared" si="85"/>
        <v>-447940800</v>
      </c>
      <c r="H220" s="20">
        <f>39*24</f>
        <v>936</v>
      </c>
      <c r="K220" s="22" t="str">
        <f t="shared" si="72"/>
        <v>span</v>
      </c>
      <c r="L220" s="20" t="s">
        <v>670</v>
      </c>
      <c r="M220" s="23">
        <f t="shared" si="92"/>
        <v>0</v>
      </c>
      <c r="N220" s="23">
        <f t="shared" si="89"/>
        <v>0</v>
      </c>
      <c r="O220" t="s">
        <v>462</v>
      </c>
      <c r="P220">
        <v>4</v>
      </c>
      <c r="Q220" t="s">
        <v>570</v>
      </c>
      <c r="S220" t="s">
        <v>530</v>
      </c>
    </row>
    <row r="221" spans="1:19" x14ac:dyDescent="0.4">
      <c r="A221" t="s">
        <v>1422</v>
      </c>
      <c r="B221" s="24">
        <v>1955</v>
      </c>
      <c r="C221" s="24">
        <v>12</v>
      </c>
      <c r="D221" s="24">
        <v>1</v>
      </c>
      <c r="G221" s="20">
        <f t="shared" si="85"/>
        <v>-444484800</v>
      </c>
      <c r="H221" s="20">
        <f>H290</f>
        <v>0</v>
      </c>
      <c r="K221" s="22" t="str">
        <f t="shared" si="72"/>
        <v>span</v>
      </c>
      <c r="M221" s="23">
        <f t="shared" si="92"/>
        <v>960</v>
      </c>
      <c r="N221" s="23">
        <f t="shared" si="89"/>
        <v>2.9822712330395684</v>
      </c>
      <c r="O221" t="s">
        <v>462</v>
      </c>
      <c r="P221">
        <v>3</v>
      </c>
      <c r="Q221" t="s">
        <v>572</v>
      </c>
      <c r="S221" t="s">
        <v>530</v>
      </c>
    </row>
    <row r="222" spans="1:19" x14ac:dyDescent="0.4">
      <c r="A222" t="s">
        <v>1422</v>
      </c>
      <c r="B222" s="24">
        <v>1955</v>
      </c>
      <c r="C222" s="24">
        <v>12</v>
      </c>
      <c r="D222" s="24">
        <v>1</v>
      </c>
      <c r="G222" s="20">
        <f t="shared" si="85"/>
        <v>-444484800</v>
      </c>
      <c r="H222" s="20">
        <f>90*24</f>
        <v>2160</v>
      </c>
      <c r="K222" s="22" t="str">
        <f t="shared" si="72"/>
        <v>span</v>
      </c>
      <c r="M222" s="23">
        <f t="shared" si="92"/>
        <v>960</v>
      </c>
      <c r="N222" s="23">
        <f t="shared" si="89"/>
        <v>2.9822712330395684</v>
      </c>
      <c r="O222" t="s">
        <v>462</v>
      </c>
      <c r="P222">
        <v>2</v>
      </c>
      <c r="Q222" t="s">
        <v>571</v>
      </c>
      <c r="S222" t="s">
        <v>530</v>
      </c>
    </row>
    <row r="223" spans="1:19" x14ac:dyDescent="0.4">
      <c r="A223" t="s">
        <v>1422</v>
      </c>
      <c r="B223" s="24">
        <v>1956</v>
      </c>
      <c r="C223" s="24">
        <v>3</v>
      </c>
      <c r="D223" s="24">
        <v>30</v>
      </c>
      <c r="G223" s="20">
        <f t="shared" si="85"/>
        <v>-434116800</v>
      </c>
      <c r="K223" s="22" t="str">
        <f t="shared" si="72"/>
        <v>point</v>
      </c>
      <c r="L223" s="20" t="s">
        <v>671</v>
      </c>
      <c r="M223" s="23">
        <f t="shared" si="92"/>
        <v>3840</v>
      </c>
      <c r="N223" s="23">
        <f t="shared" si="89"/>
        <v>3.5843312243675309</v>
      </c>
      <c r="O223" t="s">
        <v>462</v>
      </c>
      <c r="P223">
        <v>6</v>
      </c>
      <c r="Q223" t="s">
        <v>573</v>
      </c>
      <c r="S223" t="s">
        <v>530</v>
      </c>
    </row>
    <row r="224" spans="1:19" x14ac:dyDescent="0.4">
      <c r="A224" t="s">
        <v>1422</v>
      </c>
      <c r="B224" s="20">
        <v>1957</v>
      </c>
      <c r="C224" s="24">
        <v>7</v>
      </c>
      <c r="D224" s="20">
        <v>31</v>
      </c>
      <c r="G224" s="20">
        <f t="shared" si="85"/>
        <v>-391953600</v>
      </c>
      <c r="J224" t="s">
        <v>1050</v>
      </c>
      <c r="K224" s="22" t="str">
        <f t="shared" si="72"/>
        <v>point</v>
      </c>
      <c r="M224" s="23">
        <f t="shared" si="92"/>
        <v>15552</v>
      </c>
      <c r="N224" s="23">
        <f t="shared" si="89"/>
        <v>4.1917862475821996</v>
      </c>
      <c r="O224" t="s">
        <v>462</v>
      </c>
      <c r="P224">
        <v>4</v>
      </c>
      <c r="S224" t="s">
        <v>867</v>
      </c>
    </row>
    <row r="225" spans="1:19" x14ac:dyDescent="0.4">
      <c r="A225" t="s">
        <v>1422</v>
      </c>
      <c r="B225" s="20">
        <v>1958</v>
      </c>
      <c r="C225" s="24">
        <v>1</v>
      </c>
      <c r="D225" s="20">
        <v>16</v>
      </c>
      <c r="G225" s="20">
        <f t="shared" si="85"/>
        <v>-377352000</v>
      </c>
      <c r="H225" s="20">
        <v>696</v>
      </c>
      <c r="J225" t="s">
        <v>1050</v>
      </c>
      <c r="K225" s="22" t="str">
        <f t="shared" ref="K225:K274" si="93">IF(H225="",IF(I225="","point","middle"),"span")</f>
        <v>span</v>
      </c>
      <c r="M225" s="23">
        <f t="shared" si="92"/>
        <v>19608</v>
      </c>
      <c r="N225" s="23">
        <f t="shared" si="89"/>
        <v>4.2924332982440214</v>
      </c>
      <c r="O225" t="s">
        <v>462</v>
      </c>
      <c r="P225">
        <v>4</v>
      </c>
      <c r="S225" t="s">
        <v>867</v>
      </c>
    </row>
    <row r="226" spans="1:19" x14ac:dyDescent="0.4">
      <c r="A226" t="s">
        <v>1422</v>
      </c>
      <c r="B226" s="20">
        <v>1958</v>
      </c>
      <c r="C226" s="24">
        <v>5</v>
      </c>
      <c r="D226" s="20">
        <v>21</v>
      </c>
      <c r="G226" s="20">
        <f t="shared" si="85"/>
        <v>-366552000</v>
      </c>
      <c r="J226" t="s">
        <v>1050</v>
      </c>
      <c r="K226" s="22" t="str">
        <f t="shared" si="93"/>
        <v>point</v>
      </c>
      <c r="M226" s="23">
        <f t="shared" ref="M226:M274" si="94">(G226--447940800)/3600</f>
        <v>22608</v>
      </c>
      <c r="N226" s="23">
        <f t="shared" si="89"/>
        <v>4.3542621445044833</v>
      </c>
      <c r="O226" t="s">
        <v>462</v>
      </c>
      <c r="P226">
        <v>4</v>
      </c>
      <c r="S226" t="s">
        <v>867</v>
      </c>
    </row>
    <row r="227" spans="1:19" x14ac:dyDescent="0.4">
      <c r="A227" t="s">
        <v>1422</v>
      </c>
      <c r="B227" s="20">
        <v>1958</v>
      </c>
      <c r="C227" s="24">
        <v>12</v>
      </c>
      <c r="D227" s="20">
        <v>28</v>
      </c>
      <c r="G227" s="20">
        <f t="shared" si="85"/>
        <v>-347457600</v>
      </c>
      <c r="H227" s="20">
        <v>2208</v>
      </c>
      <c r="J227" t="s">
        <v>1050</v>
      </c>
      <c r="K227" s="22" t="str">
        <f t="shared" si="93"/>
        <v>span</v>
      </c>
      <c r="M227" s="23">
        <f t="shared" si="94"/>
        <v>27912</v>
      </c>
      <c r="N227" s="23">
        <f t="shared" si="89"/>
        <v>4.4457909564400548</v>
      </c>
      <c r="O227" t="s">
        <v>462</v>
      </c>
      <c r="P227">
        <v>4</v>
      </c>
      <c r="S227" t="s">
        <v>867</v>
      </c>
    </row>
    <row r="228" spans="1:19" x14ac:dyDescent="0.4">
      <c r="A228" t="s">
        <v>1422</v>
      </c>
      <c r="B228" s="20">
        <v>1959</v>
      </c>
      <c r="C228" s="24">
        <v>10</v>
      </c>
      <c r="D228" s="20">
        <v>15</v>
      </c>
      <c r="G228" s="20">
        <f t="shared" si="85"/>
        <v>-322315200</v>
      </c>
      <c r="H228" s="20">
        <v>480</v>
      </c>
      <c r="J228" t="s">
        <v>1050</v>
      </c>
      <c r="K228" s="22" t="str">
        <f t="shared" si="93"/>
        <v>span</v>
      </c>
      <c r="M228" s="23">
        <f t="shared" si="94"/>
        <v>34896</v>
      </c>
      <c r="N228" s="23">
        <f t="shared" si="89"/>
        <v>4.5427756482346249</v>
      </c>
      <c r="O228" t="s">
        <v>462</v>
      </c>
      <c r="P228">
        <v>4</v>
      </c>
      <c r="S228" t="s">
        <v>867</v>
      </c>
    </row>
    <row r="229" spans="1:19" x14ac:dyDescent="0.4">
      <c r="A229" t="s">
        <v>1422</v>
      </c>
      <c r="B229" s="20">
        <v>1960</v>
      </c>
      <c r="C229" s="24">
        <v>4</v>
      </c>
      <c r="D229" s="20">
        <v>13</v>
      </c>
      <c r="G229" s="20">
        <f t="shared" si="85"/>
        <v>-306676800</v>
      </c>
      <c r="H229" s="20">
        <v>24</v>
      </c>
      <c r="J229" t="s">
        <v>1050</v>
      </c>
      <c r="K229" s="22" t="str">
        <f t="shared" si="93"/>
        <v>span</v>
      </c>
      <c r="M229" s="23">
        <f t="shared" si="94"/>
        <v>39240</v>
      </c>
      <c r="N229" s="23">
        <f t="shared" si="89"/>
        <v>4.5937289987079106</v>
      </c>
      <c r="O229" t="s">
        <v>462</v>
      </c>
      <c r="P229">
        <v>4</v>
      </c>
      <c r="S229" t="s">
        <v>867</v>
      </c>
    </row>
    <row r="230" spans="1:19" x14ac:dyDescent="0.4">
      <c r="A230" t="s">
        <v>1422</v>
      </c>
      <c r="B230" s="20">
        <v>1961</v>
      </c>
      <c r="C230" s="24">
        <v>3</v>
      </c>
      <c r="D230" s="20">
        <v>25</v>
      </c>
      <c r="G230" s="20">
        <f t="shared" si="85"/>
        <v>-276782400</v>
      </c>
      <c r="H230" s="20">
        <v>24</v>
      </c>
      <c r="J230" t="s">
        <v>1050</v>
      </c>
      <c r="K230" s="22" t="str">
        <f t="shared" si="93"/>
        <v>span</v>
      </c>
      <c r="M230" s="23">
        <f t="shared" si="94"/>
        <v>47544</v>
      </c>
      <c r="N230" s="23">
        <f t="shared" si="89"/>
        <v>4.6770957172501531</v>
      </c>
      <c r="O230" t="s">
        <v>462</v>
      </c>
      <c r="P230">
        <v>4</v>
      </c>
      <c r="S230" t="s">
        <v>867</v>
      </c>
    </row>
    <row r="231" spans="1:19" x14ac:dyDescent="0.4">
      <c r="A231" t="s">
        <v>1422</v>
      </c>
      <c r="B231" s="20">
        <v>1961</v>
      </c>
      <c r="C231" s="24">
        <v>5</v>
      </c>
      <c r="D231" s="20">
        <v>21</v>
      </c>
      <c r="G231" s="20">
        <f t="shared" si="85"/>
        <v>-271857600</v>
      </c>
      <c r="H231" s="20">
        <v>384</v>
      </c>
      <c r="J231" t="s">
        <v>1050</v>
      </c>
      <c r="K231" s="22" t="str">
        <f t="shared" si="93"/>
        <v>span</v>
      </c>
      <c r="M231" s="23">
        <f t="shared" si="94"/>
        <v>48912</v>
      </c>
      <c r="N231" s="23">
        <f t="shared" si="89"/>
        <v>4.6894154213820132</v>
      </c>
      <c r="O231" t="s">
        <v>462</v>
      </c>
      <c r="P231">
        <v>4</v>
      </c>
      <c r="S231" t="s">
        <v>867</v>
      </c>
    </row>
    <row r="232" spans="1:19" x14ac:dyDescent="0.4">
      <c r="A232" t="s">
        <v>1422</v>
      </c>
      <c r="B232" s="20">
        <v>1961</v>
      </c>
      <c r="C232" s="24">
        <v>10</v>
      </c>
      <c r="D232" s="20">
        <v>18</v>
      </c>
      <c r="G232" s="20">
        <f t="shared" si="85"/>
        <v>-258897600</v>
      </c>
      <c r="H232" s="20">
        <v>1392</v>
      </c>
      <c r="J232" t="s">
        <v>1050</v>
      </c>
      <c r="K232" s="22" t="str">
        <f t="shared" si="93"/>
        <v>span</v>
      </c>
      <c r="M232" s="23">
        <f t="shared" si="94"/>
        <v>52512</v>
      </c>
      <c r="N232" s="23">
        <f t="shared" si="89"/>
        <v>4.7202585593729989</v>
      </c>
      <c r="O232" t="s">
        <v>462</v>
      </c>
      <c r="P232">
        <v>4</v>
      </c>
      <c r="S232" t="s">
        <v>867</v>
      </c>
    </row>
    <row r="233" spans="1:19" x14ac:dyDescent="0.4">
      <c r="A233" t="s">
        <v>1422</v>
      </c>
      <c r="B233" s="20">
        <v>1962</v>
      </c>
      <c r="C233" s="24">
        <v>10</v>
      </c>
      <c r="D233" s="20">
        <v>21</v>
      </c>
      <c r="G233" s="20">
        <f t="shared" si="85"/>
        <v>-227102400</v>
      </c>
      <c r="H233" s="20">
        <v>384</v>
      </c>
      <c r="J233" t="s">
        <v>1050</v>
      </c>
      <c r="K233" s="22" t="str">
        <f t="shared" si="93"/>
        <v>span</v>
      </c>
      <c r="M233" s="23">
        <f t="shared" si="94"/>
        <v>61344</v>
      </c>
      <c r="N233" s="23">
        <f t="shared" si="89"/>
        <v>4.7877720911979686</v>
      </c>
      <c r="O233" t="s">
        <v>462</v>
      </c>
      <c r="P233">
        <v>4</v>
      </c>
      <c r="S233" t="s">
        <v>867</v>
      </c>
    </row>
    <row r="234" spans="1:19" x14ac:dyDescent="0.4">
      <c r="A234" t="s">
        <v>1422</v>
      </c>
      <c r="B234" s="20">
        <v>1963</v>
      </c>
      <c r="C234" s="24">
        <v>5</v>
      </c>
      <c r="D234" s="20">
        <v>16</v>
      </c>
      <c r="G234" s="20">
        <f t="shared" si="85"/>
        <v>-209217600</v>
      </c>
      <c r="H234" s="20">
        <v>2952</v>
      </c>
      <c r="J234" t="s">
        <v>1050</v>
      </c>
      <c r="K234" s="22" t="str">
        <f t="shared" si="93"/>
        <v>span</v>
      </c>
      <c r="M234" s="23">
        <f t="shared" si="94"/>
        <v>66312</v>
      </c>
      <c r="N234" s="23">
        <f t="shared" si="89"/>
        <v>4.8215921266281176</v>
      </c>
      <c r="O234" t="s">
        <v>462</v>
      </c>
      <c r="P234">
        <v>4</v>
      </c>
      <c r="S234" t="s">
        <v>867</v>
      </c>
    </row>
    <row r="235" spans="1:19" x14ac:dyDescent="0.4">
      <c r="A235" t="s">
        <v>1422</v>
      </c>
      <c r="B235" s="20">
        <v>1964</v>
      </c>
      <c r="C235" s="24">
        <v>6</v>
      </c>
      <c r="D235" s="20">
        <v>25</v>
      </c>
      <c r="G235" s="20">
        <f t="shared" si="85"/>
        <v>-174139200</v>
      </c>
      <c r="H235" s="20">
        <v>2088</v>
      </c>
      <c r="J235" t="s">
        <v>1050</v>
      </c>
      <c r="K235" s="22" t="str">
        <f t="shared" si="93"/>
        <v>span</v>
      </c>
      <c r="M235" s="23">
        <f t="shared" si="94"/>
        <v>76056</v>
      </c>
      <c r="N235" s="23">
        <f t="shared" si="89"/>
        <v>4.8811334809019069</v>
      </c>
      <c r="O235" t="s">
        <v>462</v>
      </c>
      <c r="P235">
        <v>4</v>
      </c>
      <c r="S235" t="s">
        <v>867</v>
      </c>
    </row>
    <row r="236" spans="1:19" x14ac:dyDescent="0.4">
      <c r="A236" t="s">
        <v>1422</v>
      </c>
      <c r="B236" s="20">
        <v>1964</v>
      </c>
      <c r="C236" s="24">
        <v>12</v>
      </c>
      <c r="D236" s="20">
        <v>25</v>
      </c>
      <c r="G236" s="20">
        <f t="shared" si="85"/>
        <v>-158328000</v>
      </c>
      <c r="H236" s="20">
        <v>24</v>
      </c>
      <c r="J236" t="s">
        <v>1050</v>
      </c>
      <c r="K236" s="22" t="str">
        <f t="shared" si="93"/>
        <v>span</v>
      </c>
      <c r="M236" s="23">
        <f t="shared" si="94"/>
        <v>80448</v>
      </c>
      <c r="N236" s="23">
        <f t="shared" si="89"/>
        <v>4.9055152516698453</v>
      </c>
      <c r="O236" t="s">
        <v>462</v>
      </c>
      <c r="P236">
        <v>4</v>
      </c>
      <c r="S236" t="s">
        <v>867</v>
      </c>
    </row>
    <row r="237" spans="1:19" x14ac:dyDescent="0.4">
      <c r="A237" t="s">
        <v>1422</v>
      </c>
      <c r="B237" s="20">
        <v>1965</v>
      </c>
      <c r="C237" s="24">
        <v>3</v>
      </c>
      <c r="D237" s="20">
        <v>9</v>
      </c>
      <c r="G237" s="20">
        <f t="shared" si="85"/>
        <v>-151934400</v>
      </c>
      <c r="H237" s="20">
        <v>43992</v>
      </c>
      <c r="J237" t="s">
        <v>1050</v>
      </c>
      <c r="K237" s="22" t="str">
        <f t="shared" si="93"/>
        <v>span</v>
      </c>
      <c r="M237" s="23">
        <f t="shared" si="94"/>
        <v>82224</v>
      </c>
      <c r="N237" s="23">
        <f t="shared" si="89"/>
        <v>4.9149986003410975</v>
      </c>
      <c r="O237" t="s">
        <v>462</v>
      </c>
      <c r="P237">
        <v>4</v>
      </c>
      <c r="S237" t="s">
        <v>867</v>
      </c>
    </row>
    <row r="238" spans="1:19" x14ac:dyDescent="0.4">
      <c r="A238" t="s">
        <v>1422</v>
      </c>
      <c r="B238" s="20">
        <v>1971</v>
      </c>
      <c r="C238" s="24">
        <v>3</v>
      </c>
      <c r="D238" s="20">
        <v>16</v>
      </c>
      <c r="G238" s="20">
        <f t="shared" si="85"/>
        <v>37972800</v>
      </c>
      <c r="H238" s="20">
        <v>32904</v>
      </c>
      <c r="J238" t="s">
        <v>1050</v>
      </c>
      <c r="K238" s="22" t="str">
        <f t="shared" si="93"/>
        <v>span</v>
      </c>
      <c r="M238" s="23">
        <f t="shared" si="94"/>
        <v>134976</v>
      </c>
      <c r="N238" s="23">
        <f t="shared" si="89"/>
        <v>5.130256553723374</v>
      </c>
      <c r="O238" t="s">
        <v>462</v>
      </c>
      <c r="P238">
        <v>4</v>
      </c>
      <c r="S238" t="s">
        <v>867</v>
      </c>
    </row>
    <row r="239" spans="1:19" x14ac:dyDescent="0.4">
      <c r="A239" t="s">
        <v>1422</v>
      </c>
      <c r="B239" s="20">
        <v>1976</v>
      </c>
      <c r="C239" s="24">
        <v>3</v>
      </c>
      <c r="D239" s="20">
        <v>25</v>
      </c>
      <c r="G239" s="20">
        <f t="shared" si="85"/>
        <v>196603200</v>
      </c>
      <c r="J239" t="s">
        <v>1050</v>
      </c>
      <c r="K239" s="22" t="str">
        <f t="shared" si="93"/>
        <v>point</v>
      </c>
      <c r="M239" s="23">
        <f t="shared" si="94"/>
        <v>179040</v>
      </c>
      <c r="N239" s="23">
        <f t="shared" si="89"/>
        <v>5.2529500691842745</v>
      </c>
      <c r="O239" t="s">
        <v>462</v>
      </c>
      <c r="P239">
        <v>4</v>
      </c>
      <c r="S239" t="s">
        <v>867</v>
      </c>
    </row>
    <row r="240" spans="1:19" x14ac:dyDescent="0.4">
      <c r="A240" t="s">
        <v>1422</v>
      </c>
      <c r="B240" s="20">
        <v>1977</v>
      </c>
      <c r="C240" s="24">
        <v>3</v>
      </c>
      <c r="D240" s="20">
        <v>25</v>
      </c>
      <c r="G240" s="20">
        <f t="shared" si="85"/>
        <v>228139200</v>
      </c>
      <c r="J240" t="s">
        <v>1050</v>
      </c>
      <c r="K240" s="22" t="str">
        <f t="shared" si="93"/>
        <v>point</v>
      </c>
      <c r="M240" s="23">
        <f t="shared" si="94"/>
        <v>187800</v>
      </c>
      <c r="N240" s="23">
        <f t="shared" si="89"/>
        <v>5.2736955879300922</v>
      </c>
      <c r="O240" t="s">
        <v>462</v>
      </c>
      <c r="P240">
        <v>4</v>
      </c>
      <c r="S240" t="s">
        <v>867</v>
      </c>
    </row>
    <row r="241" spans="1:19" x14ac:dyDescent="0.4">
      <c r="A241" t="s">
        <v>1422</v>
      </c>
      <c r="B241" s="20">
        <v>1978</v>
      </c>
      <c r="C241" s="24">
        <v>9</v>
      </c>
      <c r="D241" s="20">
        <v>8</v>
      </c>
      <c r="G241" s="20">
        <f t="shared" si="85"/>
        <v>274104000</v>
      </c>
      <c r="J241" t="s">
        <v>1050</v>
      </c>
      <c r="K241" s="22" t="str">
        <f t="shared" si="93"/>
        <v>point</v>
      </c>
      <c r="M241" s="23">
        <f t="shared" si="94"/>
        <v>200568</v>
      </c>
      <c r="N241" s="23">
        <f t="shared" si="89"/>
        <v>5.3022616438787802</v>
      </c>
      <c r="O241" t="s">
        <v>462</v>
      </c>
      <c r="P241">
        <v>4</v>
      </c>
      <c r="S241" t="s">
        <v>867</v>
      </c>
    </row>
    <row r="242" spans="1:19" x14ac:dyDescent="0.4">
      <c r="A242" t="s">
        <v>1422</v>
      </c>
      <c r="B242" s="20">
        <v>1979</v>
      </c>
      <c r="C242" s="24">
        <v>2</v>
      </c>
      <c r="D242" s="20">
        <v>11</v>
      </c>
      <c r="G242" s="20">
        <f t="shared" si="85"/>
        <v>287582400</v>
      </c>
      <c r="J242" t="s">
        <v>1050</v>
      </c>
      <c r="K242" s="22" t="str">
        <f t="shared" si="93"/>
        <v>point</v>
      </c>
      <c r="M242" s="23">
        <f t="shared" si="94"/>
        <v>204312</v>
      </c>
      <c r="N242" s="23">
        <f t="shared" si="89"/>
        <v>5.3102938751039774</v>
      </c>
      <c r="O242" t="s">
        <v>462</v>
      </c>
      <c r="P242">
        <v>4</v>
      </c>
      <c r="S242" t="s">
        <v>867</v>
      </c>
    </row>
    <row r="243" spans="1:19" x14ac:dyDescent="0.4">
      <c r="A243" t="s">
        <v>1422</v>
      </c>
      <c r="B243" s="20">
        <v>1979</v>
      </c>
      <c r="C243" s="24">
        <v>9</v>
      </c>
      <c r="D243" s="20">
        <v>18</v>
      </c>
      <c r="G243" s="20">
        <f t="shared" si="85"/>
        <v>306504000</v>
      </c>
      <c r="J243" t="s">
        <v>1050</v>
      </c>
      <c r="K243" s="22" t="str">
        <f t="shared" si="93"/>
        <v>point</v>
      </c>
      <c r="M243" s="23">
        <f t="shared" si="94"/>
        <v>209568</v>
      </c>
      <c r="N243" s="23">
        <f t="shared" si="89"/>
        <v>5.3213249687487076</v>
      </c>
      <c r="O243" t="s">
        <v>462</v>
      </c>
      <c r="P243">
        <v>4</v>
      </c>
      <c r="S243" t="s">
        <v>867</v>
      </c>
    </row>
    <row r="244" spans="1:19" x14ac:dyDescent="0.4">
      <c r="A244" t="s">
        <v>1422</v>
      </c>
      <c r="B244" s="20">
        <v>1980</v>
      </c>
      <c r="C244" s="24">
        <v>4</v>
      </c>
      <c r="D244" s="20">
        <v>18</v>
      </c>
      <c r="G244" s="20">
        <f t="shared" si="85"/>
        <v>324907200</v>
      </c>
      <c r="H244" s="20">
        <v>24</v>
      </c>
      <c r="J244" t="s">
        <v>1050</v>
      </c>
      <c r="K244" s="22" t="str">
        <f t="shared" si="93"/>
        <v>span</v>
      </c>
      <c r="M244" s="23">
        <f t="shared" si="94"/>
        <v>214680</v>
      </c>
      <c r="N244" s="23">
        <f t="shared" si="89"/>
        <v>5.3317915866149974</v>
      </c>
      <c r="O244" t="s">
        <v>462</v>
      </c>
      <c r="P244">
        <v>4</v>
      </c>
      <c r="S244" t="s">
        <v>867</v>
      </c>
    </row>
    <row r="245" spans="1:19" x14ac:dyDescent="0.4">
      <c r="A245" t="s">
        <v>1422</v>
      </c>
      <c r="B245" s="20">
        <v>1980</v>
      </c>
      <c r="C245" s="24">
        <v>8</v>
      </c>
      <c r="D245" s="20">
        <v>21</v>
      </c>
      <c r="G245" s="20">
        <f t="shared" si="85"/>
        <v>335707200</v>
      </c>
      <c r="H245" s="20">
        <v>144</v>
      </c>
      <c r="J245" t="s">
        <v>1050</v>
      </c>
      <c r="K245" s="22" t="str">
        <f t="shared" si="93"/>
        <v>span</v>
      </c>
      <c r="M245" s="23">
        <f t="shared" si="94"/>
        <v>217680</v>
      </c>
      <c r="N245" s="23">
        <f t="shared" si="89"/>
        <v>5.3378185287717015</v>
      </c>
      <c r="O245" t="s">
        <v>462</v>
      </c>
      <c r="P245">
        <v>4</v>
      </c>
      <c r="S245" t="s">
        <v>867</v>
      </c>
    </row>
    <row r="246" spans="1:19" x14ac:dyDescent="0.4">
      <c r="A246" t="s">
        <v>1422</v>
      </c>
      <c r="B246" s="20">
        <v>1981</v>
      </c>
      <c r="C246" s="24">
        <v>6</v>
      </c>
      <c r="D246" s="20">
        <v>12</v>
      </c>
      <c r="G246" s="20">
        <f t="shared" si="85"/>
        <v>361195200</v>
      </c>
      <c r="H246" s="20">
        <v>17016</v>
      </c>
      <c r="J246" t="s">
        <v>1050</v>
      </c>
      <c r="K246" s="22" t="str">
        <f t="shared" si="93"/>
        <v>span</v>
      </c>
      <c r="M246" s="23">
        <f t="shared" si="94"/>
        <v>224760</v>
      </c>
      <c r="N246" s="23">
        <f t="shared" si="89"/>
        <v>5.351719023422862</v>
      </c>
      <c r="O246" t="s">
        <v>462</v>
      </c>
      <c r="P246">
        <v>4</v>
      </c>
      <c r="S246" t="s">
        <v>867</v>
      </c>
    </row>
    <row r="247" spans="1:19" x14ac:dyDescent="0.4">
      <c r="A247" t="s">
        <v>1422</v>
      </c>
      <c r="B247" s="20">
        <v>1984</v>
      </c>
      <c r="C247" s="24">
        <v>2</v>
      </c>
      <c r="D247" s="20">
        <v>5</v>
      </c>
      <c r="G247" s="20">
        <f t="shared" si="85"/>
        <v>444830400</v>
      </c>
      <c r="H247" s="20">
        <v>7560</v>
      </c>
      <c r="J247" t="s">
        <v>1050</v>
      </c>
      <c r="K247" s="22" t="str">
        <f t="shared" si="93"/>
        <v>span</v>
      </c>
      <c r="M247" s="23">
        <f t="shared" si="94"/>
        <v>247992</v>
      </c>
      <c r="N247" s="23">
        <f t="shared" si="89"/>
        <v>5.3944376711008353</v>
      </c>
      <c r="O247" t="s">
        <v>462</v>
      </c>
      <c r="P247">
        <v>4</v>
      </c>
      <c r="S247" t="s">
        <v>867</v>
      </c>
    </row>
    <row r="248" spans="1:19" x14ac:dyDescent="0.4">
      <c r="A248" t="s">
        <v>1422</v>
      </c>
      <c r="B248" s="20">
        <v>1985</v>
      </c>
      <c r="C248" s="24">
        <v>6</v>
      </c>
      <c r="D248" s="20">
        <v>12</v>
      </c>
      <c r="G248" s="20">
        <f t="shared" si="85"/>
        <v>487425600</v>
      </c>
      <c r="H248" s="20">
        <v>4440</v>
      </c>
      <c r="J248" t="s">
        <v>1050</v>
      </c>
      <c r="K248" s="22" t="str">
        <f t="shared" si="93"/>
        <v>span</v>
      </c>
      <c r="M248" s="23">
        <f t="shared" si="94"/>
        <v>259824</v>
      </c>
      <c r="N248" s="23">
        <f t="shared" si="89"/>
        <v>5.4146792644666482</v>
      </c>
      <c r="O248" t="s">
        <v>462</v>
      </c>
      <c r="P248">
        <v>4</v>
      </c>
      <c r="S248" t="s">
        <v>867</v>
      </c>
    </row>
    <row r="249" spans="1:19" x14ac:dyDescent="0.4">
      <c r="A249" t="s">
        <v>1422</v>
      </c>
      <c r="B249" s="20">
        <v>1986</v>
      </c>
      <c r="C249" s="24">
        <v>3</v>
      </c>
      <c r="D249" s="20">
        <v>26</v>
      </c>
      <c r="G249" s="20">
        <f t="shared" si="85"/>
        <v>512222400</v>
      </c>
      <c r="H249" s="20">
        <v>2280</v>
      </c>
      <c r="J249" t="s">
        <v>1050</v>
      </c>
      <c r="K249" s="22" t="str">
        <f t="shared" si="93"/>
        <v>span</v>
      </c>
      <c r="M249" s="23">
        <f t="shared" si="94"/>
        <v>266712</v>
      </c>
      <c r="N249" s="23">
        <f t="shared" si="89"/>
        <v>5.4260425560593601</v>
      </c>
      <c r="O249" t="s">
        <v>462</v>
      </c>
      <c r="P249">
        <v>4</v>
      </c>
      <c r="S249" t="s">
        <v>867</v>
      </c>
    </row>
    <row r="250" spans="1:19" x14ac:dyDescent="0.4">
      <c r="A250" t="s">
        <v>1422</v>
      </c>
      <c r="B250" s="20">
        <v>1986</v>
      </c>
      <c r="C250" s="24">
        <v>12</v>
      </c>
      <c r="D250" s="20">
        <v>5</v>
      </c>
      <c r="G250" s="20">
        <f t="shared" si="85"/>
        <v>534168000</v>
      </c>
      <c r="H250" s="20">
        <v>14376</v>
      </c>
      <c r="J250" t="s">
        <v>1050</v>
      </c>
      <c r="K250" s="22" t="str">
        <f t="shared" si="93"/>
        <v>span</v>
      </c>
      <c r="M250" s="23">
        <f t="shared" si="94"/>
        <v>272808</v>
      </c>
      <c r="N250" s="23">
        <f t="shared" si="89"/>
        <v>5.4358571017062616</v>
      </c>
      <c r="O250" t="s">
        <v>462</v>
      </c>
      <c r="P250">
        <v>4</v>
      </c>
      <c r="S250" t="s">
        <v>867</v>
      </c>
    </row>
    <row r="251" spans="1:19" x14ac:dyDescent="0.4">
      <c r="A251" t="s">
        <v>1422</v>
      </c>
      <c r="B251" s="20">
        <v>1989</v>
      </c>
      <c r="C251" s="24">
        <v>8</v>
      </c>
      <c r="D251" s="20">
        <v>1</v>
      </c>
      <c r="G251" s="20">
        <f t="shared" si="85"/>
        <v>617976000</v>
      </c>
      <c r="H251" s="20">
        <v>72</v>
      </c>
      <c r="J251" t="s">
        <v>1050</v>
      </c>
      <c r="K251" s="22" t="str">
        <f t="shared" si="93"/>
        <v>span</v>
      </c>
      <c r="M251" s="23">
        <f t="shared" si="94"/>
        <v>296088</v>
      </c>
      <c r="N251" s="23">
        <f t="shared" si="89"/>
        <v>5.4714208064457353</v>
      </c>
      <c r="O251" t="s">
        <v>462</v>
      </c>
      <c r="P251">
        <v>4</v>
      </c>
      <c r="S251" t="s">
        <v>867</v>
      </c>
    </row>
    <row r="252" spans="1:19" x14ac:dyDescent="0.4">
      <c r="A252" t="s">
        <v>1422</v>
      </c>
      <c r="B252" s="20">
        <v>1990</v>
      </c>
      <c r="C252" s="24">
        <v>1</v>
      </c>
      <c r="D252" s="20">
        <v>29</v>
      </c>
      <c r="G252" s="20">
        <f t="shared" si="85"/>
        <v>633614400</v>
      </c>
      <c r="H252" s="20">
        <v>16056</v>
      </c>
      <c r="J252" t="s">
        <v>1050</v>
      </c>
      <c r="K252" s="22" t="str">
        <f t="shared" si="93"/>
        <v>span</v>
      </c>
      <c r="M252" s="23">
        <f t="shared" si="94"/>
        <v>300432</v>
      </c>
      <c r="N252" s="23">
        <f t="shared" si="89"/>
        <v>5.4777461889288839</v>
      </c>
      <c r="O252" t="s">
        <v>462</v>
      </c>
      <c r="P252">
        <v>4</v>
      </c>
      <c r="S252" t="s">
        <v>867</v>
      </c>
    </row>
    <row r="253" spans="1:19" x14ac:dyDescent="0.4">
      <c r="A253" t="s">
        <v>1422</v>
      </c>
      <c r="B253" s="20">
        <v>1992</v>
      </c>
      <c r="C253" s="24">
        <v>3</v>
      </c>
      <c r="D253" s="20">
        <v>12</v>
      </c>
      <c r="G253" s="20">
        <f t="shared" si="85"/>
        <v>700401600</v>
      </c>
      <c r="H253" s="20">
        <v>2208</v>
      </c>
      <c r="J253" t="s">
        <v>1050</v>
      </c>
      <c r="K253" s="22" t="str">
        <f t="shared" si="93"/>
        <v>span</v>
      </c>
      <c r="M253" s="23">
        <f t="shared" si="94"/>
        <v>318984</v>
      </c>
      <c r="N253" s="23">
        <f t="shared" si="89"/>
        <v>5.5037688997155554</v>
      </c>
      <c r="O253" t="s">
        <v>462</v>
      </c>
      <c r="P253">
        <v>4</v>
      </c>
      <c r="S253" t="s">
        <v>867</v>
      </c>
    </row>
    <row r="254" spans="1:19" x14ac:dyDescent="0.4">
      <c r="A254" t="s">
        <v>1422</v>
      </c>
      <c r="B254" s="20">
        <v>1993</v>
      </c>
      <c r="C254" s="24">
        <v>10</v>
      </c>
      <c r="D254" s="20">
        <v>21</v>
      </c>
      <c r="G254" s="20">
        <f t="shared" si="85"/>
        <v>751204800</v>
      </c>
      <c r="H254" s="20">
        <v>2544</v>
      </c>
      <c r="J254" t="s">
        <v>1050</v>
      </c>
      <c r="K254" s="22" t="str">
        <f t="shared" si="93"/>
        <v>span</v>
      </c>
      <c r="M254" s="23">
        <f t="shared" si="94"/>
        <v>333096</v>
      </c>
      <c r="N254" s="23">
        <f t="shared" si="89"/>
        <v>5.5225694174754514</v>
      </c>
      <c r="O254" t="s">
        <v>462</v>
      </c>
      <c r="P254">
        <v>4</v>
      </c>
      <c r="S254" t="s">
        <v>867</v>
      </c>
    </row>
    <row r="255" spans="1:19" x14ac:dyDescent="0.4">
      <c r="A255" t="s">
        <v>1422</v>
      </c>
      <c r="B255" s="20">
        <v>1994</v>
      </c>
      <c r="C255" s="24">
        <v>7</v>
      </c>
      <c r="D255" s="20">
        <v>7</v>
      </c>
      <c r="G255" s="20">
        <f t="shared" si="85"/>
        <v>773582400</v>
      </c>
      <c r="H255" s="20">
        <v>2160</v>
      </c>
      <c r="J255" t="s">
        <v>1050</v>
      </c>
      <c r="K255" s="22" t="str">
        <f t="shared" si="93"/>
        <v>span</v>
      </c>
      <c r="M255" s="23">
        <f t="shared" si="94"/>
        <v>339312</v>
      </c>
      <c r="N255" s="23">
        <f t="shared" si="89"/>
        <v>5.530599219036886</v>
      </c>
      <c r="O255" t="s">
        <v>462</v>
      </c>
      <c r="P255">
        <v>4</v>
      </c>
      <c r="S255" t="s">
        <v>867</v>
      </c>
    </row>
    <row r="256" spans="1:19" x14ac:dyDescent="0.4">
      <c r="A256" t="s">
        <v>1422</v>
      </c>
      <c r="B256" s="20">
        <v>1995</v>
      </c>
      <c r="C256" s="24">
        <v>9</v>
      </c>
      <c r="D256" s="20">
        <v>16</v>
      </c>
      <c r="G256" s="20">
        <f t="shared" si="85"/>
        <v>811252800</v>
      </c>
      <c r="H256" s="20">
        <v>528</v>
      </c>
      <c r="J256" t="s">
        <v>1050</v>
      </c>
      <c r="K256" s="22" t="str">
        <f t="shared" si="93"/>
        <v>span</v>
      </c>
      <c r="M256" s="23">
        <f t="shared" si="94"/>
        <v>349776</v>
      </c>
      <c r="N256" s="23">
        <f t="shared" si="89"/>
        <v>5.5437900069003803</v>
      </c>
      <c r="O256" t="s">
        <v>462</v>
      </c>
      <c r="P256">
        <v>4</v>
      </c>
      <c r="S256" t="s">
        <v>867</v>
      </c>
    </row>
    <row r="257" spans="1:19" x14ac:dyDescent="0.4">
      <c r="A257" t="s">
        <v>1422</v>
      </c>
      <c r="B257" s="20">
        <v>1996</v>
      </c>
      <c r="C257" s="24">
        <v>7</v>
      </c>
      <c r="D257" s="20">
        <v>23</v>
      </c>
      <c r="G257" s="20">
        <f t="shared" si="85"/>
        <v>838123200</v>
      </c>
      <c r="H257" s="20">
        <v>960</v>
      </c>
      <c r="J257" t="s">
        <v>1050</v>
      </c>
      <c r="K257" s="22" t="str">
        <f t="shared" si="93"/>
        <v>span</v>
      </c>
      <c r="M257" s="23">
        <f t="shared" si="94"/>
        <v>357240</v>
      </c>
      <c r="N257" s="23">
        <f t="shared" si="89"/>
        <v>5.5529600806943495</v>
      </c>
      <c r="O257" t="s">
        <v>462</v>
      </c>
      <c r="P257">
        <v>4</v>
      </c>
      <c r="S257" t="s">
        <v>867</v>
      </c>
    </row>
    <row r="258" spans="1:19" x14ac:dyDescent="0.4">
      <c r="A258" t="s">
        <v>1422</v>
      </c>
      <c r="B258" s="20">
        <v>1997</v>
      </c>
      <c r="C258" s="24">
        <v>5</v>
      </c>
      <c r="D258" s="20">
        <v>8</v>
      </c>
      <c r="G258" s="20">
        <f t="shared" si="85"/>
        <v>863092800</v>
      </c>
      <c r="H258" s="20">
        <v>192</v>
      </c>
      <c r="J258" t="s">
        <v>1050</v>
      </c>
      <c r="K258" s="22" t="str">
        <f t="shared" si="93"/>
        <v>span</v>
      </c>
      <c r="M258" s="23">
        <f t="shared" si="94"/>
        <v>364176</v>
      </c>
      <c r="N258" s="23">
        <f t="shared" si="89"/>
        <v>5.5613113214396543</v>
      </c>
      <c r="O258" t="s">
        <v>462</v>
      </c>
      <c r="P258">
        <v>4</v>
      </c>
      <c r="S258" t="s">
        <v>867</v>
      </c>
    </row>
    <row r="259" spans="1:19" x14ac:dyDescent="0.4">
      <c r="A259" t="s">
        <v>1422</v>
      </c>
      <c r="B259" s="20">
        <v>1997</v>
      </c>
      <c r="C259" s="24">
        <v>12</v>
      </c>
      <c r="D259" s="20">
        <v>5</v>
      </c>
      <c r="G259" s="20">
        <f t="shared" si="85"/>
        <v>881323200</v>
      </c>
      <c r="H259" s="20">
        <v>24</v>
      </c>
      <c r="J259" t="s">
        <v>1050</v>
      </c>
      <c r="K259" s="22" t="str">
        <f t="shared" si="93"/>
        <v>span</v>
      </c>
      <c r="M259" s="23">
        <f t="shared" si="94"/>
        <v>369240</v>
      </c>
      <c r="N259" s="23">
        <f t="shared" si="89"/>
        <v>5.5673087422950829</v>
      </c>
      <c r="O259" t="s">
        <v>462</v>
      </c>
      <c r="P259">
        <v>4</v>
      </c>
      <c r="S259" t="s">
        <v>867</v>
      </c>
    </row>
    <row r="260" spans="1:19" x14ac:dyDescent="0.4">
      <c r="A260" t="s">
        <v>1422</v>
      </c>
      <c r="B260" s="20">
        <v>1998</v>
      </c>
      <c r="C260" s="24">
        <v>6</v>
      </c>
      <c r="D260" s="20">
        <v>20</v>
      </c>
      <c r="G260" s="20">
        <f t="shared" si="85"/>
        <v>898344000</v>
      </c>
      <c r="H260" s="20">
        <v>48</v>
      </c>
      <c r="J260" t="s">
        <v>1050</v>
      </c>
      <c r="K260" s="22" t="str">
        <f t="shared" si="93"/>
        <v>span</v>
      </c>
      <c r="M260" s="23">
        <f t="shared" si="94"/>
        <v>373968</v>
      </c>
      <c r="N260" s="23">
        <f t="shared" si="89"/>
        <v>5.5728344417245523</v>
      </c>
      <c r="O260" t="s">
        <v>462</v>
      </c>
      <c r="P260">
        <v>4</v>
      </c>
      <c r="S260" t="s">
        <v>867</v>
      </c>
    </row>
    <row r="261" spans="1:19" x14ac:dyDescent="0.4">
      <c r="A261" t="s">
        <v>1422</v>
      </c>
      <c r="B261" s="20">
        <v>1999</v>
      </c>
      <c r="C261" s="24">
        <v>2</v>
      </c>
      <c r="D261" s="20">
        <v>25</v>
      </c>
      <c r="G261" s="20">
        <f t="shared" si="85"/>
        <v>919944000</v>
      </c>
      <c r="H261" s="20">
        <v>0</v>
      </c>
      <c r="J261" t="s">
        <v>1050</v>
      </c>
      <c r="K261" s="22" t="str">
        <f t="shared" si="93"/>
        <v>span</v>
      </c>
      <c r="M261" s="23">
        <f t="shared" si="94"/>
        <v>379968</v>
      </c>
      <c r="N261" s="23">
        <f t="shared" si="89"/>
        <v>5.5797470229099462</v>
      </c>
      <c r="O261" t="s">
        <v>462</v>
      </c>
      <c r="P261">
        <v>4</v>
      </c>
      <c r="S261" t="s">
        <v>867</v>
      </c>
    </row>
    <row r="262" spans="1:19" x14ac:dyDescent="0.4">
      <c r="A262" t="s">
        <v>1422</v>
      </c>
      <c r="B262" s="20">
        <v>2000</v>
      </c>
      <c r="C262" s="24">
        <v>3</v>
      </c>
      <c r="D262" s="20">
        <v>14</v>
      </c>
      <c r="G262" s="20">
        <f t="shared" si="85"/>
        <v>953035200</v>
      </c>
      <c r="H262" s="20">
        <v>288</v>
      </c>
      <c r="J262" t="s">
        <v>1050</v>
      </c>
      <c r="K262" s="22" t="str">
        <f t="shared" si="93"/>
        <v>span</v>
      </c>
      <c r="M262" s="23">
        <f t="shared" si="94"/>
        <v>389160</v>
      </c>
      <c r="N262" s="23">
        <f t="shared" si="89"/>
        <v>5.5901281947205979</v>
      </c>
      <c r="O262" t="s">
        <v>462</v>
      </c>
      <c r="P262">
        <v>4</v>
      </c>
      <c r="S262" t="s">
        <v>867</v>
      </c>
    </row>
    <row r="263" spans="1:19" x14ac:dyDescent="0.4">
      <c r="A263" t="s">
        <v>1422</v>
      </c>
      <c r="B263" s="20">
        <v>2000</v>
      </c>
      <c r="C263" s="24">
        <v>7</v>
      </c>
      <c r="D263" s="20">
        <v>18</v>
      </c>
      <c r="G263" s="20">
        <f t="shared" si="85"/>
        <v>963921600</v>
      </c>
      <c r="H263" s="20">
        <v>2616</v>
      </c>
      <c r="J263" t="s">
        <v>1050</v>
      </c>
      <c r="K263" s="22" t="str">
        <f t="shared" si="93"/>
        <v>span</v>
      </c>
      <c r="M263" s="23">
        <f t="shared" si="94"/>
        <v>392184</v>
      </c>
      <c r="N263" s="23">
        <f t="shared" si="89"/>
        <v>5.5934898717044002</v>
      </c>
      <c r="O263" t="s">
        <v>462</v>
      </c>
      <c r="P263">
        <v>4</v>
      </c>
      <c r="S263" t="s">
        <v>867</v>
      </c>
    </row>
    <row r="264" spans="1:19" x14ac:dyDescent="0.4">
      <c r="A264" t="s">
        <v>1422</v>
      </c>
      <c r="B264" s="20">
        <v>2001</v>
      </c>
      <c r="C264" s="24">
        <v>7</v>
      </c>
      <c r="D264" s="20">
        <v>23</v>
      </c>
      <c r="G264" s="20">
        <f t="shared" si="85"/>
        <v>995889600</v>
      </c>
      <c r="H264" s="20">
        <v>432</v>
      </c>
      <c r="J264" t="s">
        <v>1050</v>
      </c>
      <c r="K264" s="22" t="str">
        <f t="shared" si="93"/>
        <v>span</v>
      </c>
      <c r="M264" s="23">
        <f t="shared" si="94"/>
        <v>401064</v>
      </c>
      <c r="N264" s="23">
        <f t="shared" si="89"/>
        <v>5.6032136809220159</v>
      </c>
      <c r="O264" t="s">
        <v>462</v>
      </c>
      <c r="P264">
        <v>4</v>
      </c>
      <c r="S264" t="s">
        <v>867</v>
      </c>
    </row>
    <row r="265" spans="1:19" x14ac:dyDescent="0.4">
      <c r="A265" t="s">
        <v>1422</v>
      </c>
      <c r="B265" s="20">
        <v>2001</v>
      </c>
      <c r="C265" s="24">
        <v>12</v>
      </c>
      <c r="D265" s="20">
        <v>10</v>
      </c>
      <c r="G265" s="20">
        <f t="shared" si="85"/>
        <v>1007985600</v>
      </c>
      <c r="H265" s="20">
        <v>648</v>
      </c>
      <c r="J265" t="s">
        <v>1050</v>
      </c>
      <c r="K265" s="22" t="str">
        <f t="shared" si="93"/>
        <v>span</v>
      </c>
      <c r="M265" s="23">
        <f t="shared" si="94"/>
        <v>404424</v>
      </c>
      <c r="N265" s="23">
        <f t="shared" si="89"/>
        <v>5.6068369203074111</v>
      </c>
      <c r="O265" t="s">
        <v>462</v>
      </c>
      <c r="P265">
        <v>4</v>
      </c>
      <c r="S265" t="s">
        <v>867</v>
      </c>
    </row>
    <row r="266" spans="1:19" x14ac:dyDescent="0.4">
      <c r="A266" t="s">
        <v>1422</v>
      </c>
      <c r="B266" s="20">
        <v>2002</v>
      </c>
      <c r="C266" s="24">
        <v>12</v>
      </c>
      <c r="D266" s="20">
        <v>25</v>
      </c>
      <c r="G266" s="20">
        <f t="shared" si="85"/>
        <v>1040817600</v>
      </c>
      <c r="H266" s="20">
        <v>72</v>
      </c>
      <c r="J266" t="s">
        <v>1050</v>
      </c>
      <c r="K266" s="22" t="str">
        <f t="shared" si="93"/>
        <v>span</v>
      </c>
      <c r="M266" s="23">
        <f t="shared" si="94"/>
        <v>413544</v>
      </c>
      <c r="N266" s="23">
        <f t="shared" si="89"/>
        <v>5.6165217241439374</v>
      </c>
      <c r="O266" t="s">
        <v>462</v>
      </c>
      <c r="P266">
        <v>4</v>
      </c>
      <c r="S266" t="s">
        <v>867</v>
      </c>
    </row>
    <row r="267" spans="1:19" x14ac:dyDescent="0.4">
      <c r="A267" t="s">
        <v>1422</v>
      </c>
      <c r="B267" s="20">
        <v>2003</v>
      </c>
      <c r="C267" s="24">
        <v>7</v>
      </c>
      <c r="D267" s="20">
        <v>26</v>
      </c>
      <c r="G267" s="20">
        <f t="shared" si="85"/>
        <v>1059220800</v>
      </c>
      <c r="H267" s="20">
        <v>144</v>
      </c>
      <c r="J267" t="s">
        <v>1050</v>
      </c>
      <c r="K267" s="22" t="str">
        <f t="shared" si="93"/>
        <v>span</v>
      </c>
      <c r="M267" s="23">
        <f t="shared" si="94"/>
        <v>418656</v>
      </c>
      <c r="N267" s="23">
        <f t="shared" si="89"/>
        <v>5.6218573197129951</v>
      </c>
      <c r="O267" t="s">
        <v>462</v>
      </c>
      <c r="P267">
        <v>4</v>
      </c>
      <c r="S267" t="s">
        <v>867</v>
      </c>
    </row>
    <row r="268" spans="1:19" x14ac:dyDescent="0.4">
      <c r="A268" t="s">
        <v>1422</v>
      </c>
      <c r="B268" s="20">
        <v>2004</v>
      </c>
      <c r="C268" s="24">
        <v>1</v>
      </c>
      <c r="D268" s="20">
        <v>14</v>
      </c>
      <c r="G268" s="20">
        <f t="shared" si="85"/>
        <v>1074081600</v>
      </c>
      <c r="H268" s="20">
        <v>9576</v>
      </c>
      <c r="J268" t="s">
        <v>1050</v>
      </c>
      <c r="K268" s="22" t="str">
        <f t="shared" si="93"/>
        <v>span</v>
      </c>
      <c r="M268" s="23">
        <f t="shared" si="94"/>
        <v>422784</v>
      </c>
      <c r="N268" s="23">
        <f t="shared" si="89"/>
        <v>5.6261185433392829</v>
      </c>
      <c r="O268" t="s">
        <v>462</v>
      </c>
      <c r="P268">
        <v>4</v>
      </c>
      <c r="S268" t="s">
        <v>867</v>
      </c>
    </row>
    <row r="269" spans="1:19" x14ac:dyDescent="0.4">
      <c r="A269" t="s">
        <v>1422</v>
      </c>
      <c r="B269" s="20">
        <v>2005</v>
      </c>
      <c r="C269" s="24">
        <v>11</v>
      </c>
      <c r="D269" s="20">
        <v>29</v>
      </c>
      <c r="G269" s="20">
        <f t="shared" si="85"/>
        <v>1133265600</v>
      </c>
      <c r="H269" s="20">
        <v>48</v>
      </c>
      <c r="J269" t="s">
        <v>1050</v>
      </c>
      <c r="K269" s="22" t="str">
        <f t="shared" si="93"/>
        <v>span</v>
      </c>
      <c r="M269" s="23">
        <f t="shared" si="94"/>
        <v>439224</v>
      </c>
      <c r="N269" s="23">
        <f t="shared" si="89"/>
        <v>5.6426860627325475</v>
      </c>
      <c r="O269" t="s">
        <v>462</v>
      </c>
      <c r="P269">
        <v>4</v>
      </c>
      <c r="S269" t="s">
        <v>867</v>
      </c>
    </row>
    <row r="270" spans="1:19" x14ac:dyDescent="0.4">
      <c r="A270" t="s">
        <v>1422</v>
      </c>
      <c r="B270" s="20">
        <v>2006</v>
      </c>
      <c r="C270" s="24">
        <v>4</v>
      </c>
      <c r="D270" s="20">
        <v>16</v>
      </c>
      <c r="G270" s="20">
        <f t="shared" si="85"/>
        <v>1145188800</v>
      </c>
      <c r="H270" s="20">
        <v>6168</v>
      </c>
      <c r="J270" t="s">
        <v>1050</v>
      </c>
      <c r="K270" s="22" t="str">
        <f t="shared" si="93"/>
        <v>span</v>
      </c>
      <c r="M270" s="23">
        <f t="shared" si="94"/>
        <v>442536</v>
      </c>
      <c r="N270" s="23">
        <f t="shared" si="89"/>
        <v>5.6459486060290969</v>
      </c>
      <c r="O270" t="s">
        <v>462</v>
      </c>
      <c r="P270">
        <v>4</v>
      </c>
      <c r="S270" t="s">
        <v>867</v>
      </c>
    </row>
    <row r="271" spans="1:19" x14ac:dyDescent="0.4">
      <c r="A271" t="s">
        <v>1422</v>
      </c>
      <c r="B271" s="20">
        <v>2007</v>
      </c>
      <c r="C271" s="24">
        <v>5</v>
      </c>
      <c r="D271" s="20">
        <v>10</v>
      </c>
      <c r="G271" s="20">
        <f t="shared" si="85"/>
        <v>1178798400</v>
      </c>
      <c r="H271" s="20">
        <v>5472</v>
      </c>
      <c r="J271" t="s">
        <v>1050</v>
      </c>
      <c r="K271" s="22" t="str">
        <f t="shared" si="93"/>
        <v>span</v>
      </c>
      <c r="M271" s="23">
        <f t="shared" si="94"/>
        <v>451872</v>
      </c>
      <c r="N271" s="23">
        <f t="shared" si="89"/>
        <v>5.6550154313461674</v>
      </c>
      <c r="O271" t="s">
        <v>462</v>
      </c>
      <c r="P271">
        <v>4</v>
      </c>
      <c r="S271" t="s">
        <v>867</v>
      </c>
    </row>
    <row r="272" spans="1:19" x14ac:dyDescent="0.4">
      <c r="A272" t="s">
        <v>1422</v>
      </c>
      <c r="B272" s="20">
        <v>2008</v>
      </c>
      <c r="C272" s="24">
        <v>7</v>
      </c>
      <c r="D272" s="20">
        <v>11</v>
      </c>
      <c r="G272" s="20">
        <f t="shared" si="85"/>
        <v>1215777600</v>
      </c>
      <c r="H272" s="20">
        <v>1032</v>
      </c>
      <c r="J272" t="s">
        <v>1050</v>
      </c>
      <c r="K272" s="22" t="str">
        <f t="shared" si="93"/>
        <v>span</v>
      </c>
      <c r="M272" s="23">
        <f t="shared" si="94"/>
        <v>462144</v>
      </c>
      <c r="N272" s="23">
        <f t="shared" si="89"/>
        <v>5.6647773189785795</v>
      </c>
      <c r="O272" t="s">
        <v>462</v>
      </c>
      <c r="P272">
        <v>4</v>
      </c>
      <c r="S272" t="s">
        <v>867</v>
      </c>
    </row>
    <row r="273" spans="1:19" x14ac:dyDescent="0.4">
      <c r="A273" t="s">
        <v>1422</v>
      </c>
      <c r="B273" s="20">
        <v>2009</v>
      </c>
      <c r="C273" s="24">
        <v>12</v>
      </c>
      <c r="D273" s="20">
        <v>17</v>
      </c>
      <c r="G273" s="20">
        <f t="shared" si="85"/>
        <v>1261051200</v>
      </c>
      <c r="H273" s="20">
        <v>1464</v>
      </c>
      <c r="J273" t="s">
        <v>1050</v>
      </c>
      <c r="K273" s="22" t="str">
        <f t="shared" si="93"/>
        <v>span</v>
      </c>
      <c r="M273" s="23">
        <f t="shared" si="94"/>
        <v>474720</v>
      </c>
      <c r="N273" s="23">
        <f t="shared" si="89"/>
        <v>5.6764375289727669</v>
      </c>
      <c r="O273" t="s">
        <v>462</v>
      </c>
      <c r="P273">
        <v>4</v>
      </c>
      <c r="S273" t="s">
        <v>867</v>
      </c>
    </row>
    <row r="274" spans="1:19" x14ac:dyDescent="0.4">
      <c r="A274" t="s">
        <v>1422</v>
      </c>
      <c r="B274" s="20">
        <v>2010</v>
      </c>
      <c r="C274" s="24">
        <v>5</v>
      </c>
      <c r="D274" s="20">
        <v>21</v>
      </c>
      <c r="G274" s="20">
        <f t="shared" si="85"/>
        <v>1274443200</v>
      </c>
      <c r="H274" s="20">
        <v>85056</v>
      </c>
      <c r="J274" t="s">
        <v>1050</v>
      </c>
      <c r="K274" s="22" t="str">
        <f t="shared" si="93"/>
        <v>span</v>
      </c>
      <c r="M274" s="23">
        <f t="shared" si="94"/>
        <v>478440</v>
      </c>
      <c r="N274" s="23">
        <f t="shared" si="89"/>
        <v>5.6798274817100189</v>
      </c>
      <c r="O274" t="s">
        <v>462</v>
      </c>
      <c r="P274">
        <v>4</v>
      </c>
      <c r="S274" t="s">
        <v>867</v>
      </c>
    </row>
    <row r="275" spans="1:19" x14ac:dyDescent="0.4">
      <c r="A275" t="s">
        <v>1474</v>
      </c>
      <c r="B275" s="24">
        <v>1883</v>
      </c>
      <c r="C275" s="24">
        <v>10</v>
      </c>
      <c r="D275" s="24">
        <v>6</v>
      </c>
      <c r="E275" s="24">
        <v>8</v>
      </c>
      <c r="F275" s="24">
        <v>0</v>
      </c>
      <c r="G275" s="20">
        <f t="shared" si="85"/>
        <v>57236832000</v>
      </c>
      <c r="J275" t="s">
        <v>656</v>
      </c>
      <c r="K275" s="22" t="str">
        <f t="shared" si="72"/>
        <v>point</v>
      </c>
      <c r="M275" s="23">
        <f>(G275-191147880)/3600</f>
        <v>15846023.366666667</v>
      </c>
      <c r="N275" s="23">
        <f t="shared" si="89"/>
        <v>7.1999202920049887</v>
      </c>
      <c r="O275" t="s">
        <v>462</v>
      </c>
      <c r="P275">
        <v>6</v>
      </c>
      <c r="Q275" t="s">
        <v>912</v>
      </c>
      <c r="R275" t="s">
        <v>870</v>
      </c>
      <c r="S275" t="s">
        <v>869</v>
      </c>
    </row>
    <row r="276" spans="1:19" x14ac:dyDescent="0.4">
      <c r="A276" t="s">
        <v>1474</v>
      </c>
      <c r="B276" s="24">
        <v>1885</v>
      </c>
      <c r="G276" s="20">
        <f t="shared" si="85"/>
        <v>57291580800</v>
      </c>
      <c r="I276" s="20">
        <f>23*365*24</f>
        <v>201480</v>
      </c>
      <c r="J276" t="s">
        <v>656</v>
      </c>
      <c r="K276" s="22" t="str">
        <f t="shared" ref="K276:K279" si="95">IF(H276="",IF(I276="","point","middle"),"span")</f>
        <v>middle</v>
      </c>
      <c r="M276" s="23">
        <f t="shared" ref="M276:M318" si="96">(G276-191147880)/3600</f>
        <v>15861231.366666667</v>
      </c>
      <c r="N276" s="23">
        <f t="shared" ref="N276:N319" si="97">IF(M276=0,0, IF(M276&gt;0,LOG10(M276), -LOG10(-1*M276)))</f>
        <v>7.2003369001940492</v>
      </c>
      <c r="O276" t="s">
        <v>462</v>
      </c>
      <c r="P276">
        <v>4</v>
      </c>
      <c r="Q276" t="s">
        <v>872</v>
      </c>
      <c r="S276" t="s">
        <v>869</v>
      </c>
    </row>
    <row r="277" spans="1:19" x14ac:dyDescent="0.4">
      <c r="A277" t="s">
        <v>1474</v>
      </c>
      <c r="B277" s="24">
        <v>1935</v>
      </c>
      <c r="C277" s="24">
        <v>3</v>
      </c>
      <c r="D277" s="24">
        <v>13</v>
      </c>
      <c r="G277" s="20">
        <f t="shared" si="85"/>
        <v>-1098360000</v>
      </c>
      <c r="I277" s="20">
        <f>5*30*24</f>
        <v>3600</v>
      </c>
      <c r="J277" t="s">
        <v>656</v>
      </c>
      <c r="K277" s="22" t="str">
        <f t="shared" si="95"/>
        <v>middle</v>
      </c>
      <c r="M277" s="23">
        <f t="shared" si="96"/>
        <v>-358196.63333333336</v>
      </c>
      <c r="N277" s="23">
        <f t="shared" si="97"/>
        <v>-5.5541214996268407</v>
      </c>
      <c r="O277" t="s">
        <v>462</v>
      </c>
      <c r="P277">
        <v>3</v>
      </c>
      <c r="Q277" t="s">
        <v>913</v>
      </c>
      <c r="S277" t="s">
        <v>869</v>
      </c>
    </row>
    <row r="278" spans="1:19" x14ac:dyDescent="0.4">
      <c r="A278" t="s">
        <v>1474</v>
      </c>
      <c r="B278" s="24">
        <v>1935</v>
      </c>
      <c r="C278" s="24">
        <v>8</v>
      </c>
      <c r="G278" s="20">
        <f t="shared" si="85"/>
        <v>-1084924800</v>
      </c>
      <c r="K278" s="22" t="str">
        <f t="shared" si="95"/>
        <v>point</v>
      </c>
      <c r="M278" s="23">
        <f t="shared" si="96"/>
        <v>-354464.63333333336</v>
      </c>
      <c r="N278" s="23">
        <f t="shared" si="97"/>
        <v>-5.549572910000327</v>
      </c>
      <c r="O278" t="s">
        <v>462</v>
      </c>
      <c r="P278">
        <v>4</v>
      </c>
      <c r="Q278" t="s">
        <v>871</v>
      </c>
      <c r="S278" t="s">
        <v>869</v>
      </c>
    </row>
    <row r="279" spans="1:19" x14ac:dyDescent="0.4">
      <c r="A279" t="s">
        <v>1474</v>
      </c>
      <c r="B279" s="24">
        <v>1944</v>
      </c>
      <c r="G279" s="20">
        <f t="shared" si="85"/>
        <v>-804816000</v>
      </c>
      <c r="K279" s="22" t="str">
        <f t="shared" si="95"/>
        <v>point</v>
      </c>
      <c r="M279" s="23">
        <f t="shared" si="96"/>
        <v>-276656.63333333336</v>
      </c>
      <c r="N279" s="23">
        <f t="shared" si="97"/>
        <v>-5.4419410876552741</v>
      </c>
      <c r="O279" t="s">
        <v>462</v>
      </c>
      <c r="P279">
        <v>3</v>
      </c>
      <c r="Q279" t="s">
        <v>873</v>
      </c>
      <c r="S279" t="s">
        <v>869</v>
      </c>
    </row>
    <row r="280" spans="1:19" x14ac:dyDescent="0.4">
      <c r="A280" t="s">
        <v>1474</v>
      </c>
      <c r="B280" s="24">
        <v>1963</v>
      </c>
      <c r="C280" s="24">
        <v>10</v>
      </c>
      <c r="D280" s="24">
        <v>11</v>
      </c>
      <c r="G280" s="20">
        <f t="shared" si="85"/>
        <v>-196430400</v>
      </c>
      <c r="H280" s="20">
        <f>10*30*24</f>
        <v>7200</v>
      </c>
      <c r="K280" s="22" t="str">
        <f t="shared" si="72"/>
        <v>span</v>
      </c>
      <c r="M280" s="23">
        <f t="shared" si="96"/>
        <v>-107660.63333333333</v>
      </c>
      <c r="N280" s="23">
        <f t="shared" si="97"/>
        <v>-5.0320569303037717</v>
      </c>
      <c r="O280" t="s">
        <v>462</v>
      </c>
      <c r="P280">
        <v>4</v>
      </c>
      <c r="Q280" t="s">
        <v>874</v>
      </c>
      <c r="S280" t="s">
        <v>869</v>
      </c>
    </row>
    <row r="281" spans="1:19" x14ac:dyDescent="0.4">
      <c r="A281" t="s">
        <v>1474</v>
      </c>
      <c r="B281" s="24">
        <v>1971</v>
      </c>
      <c r="C281" s="24">
        <v>8</v>
      </c>
      <c r="D281" s="24">
        <v>30</v>
      </c>
      <c r="G281" s="20">
        <f t="shared" si="85"/>
        <v>52401600</v>
      </c>
      <c r="H281" s="20">
        <f>7*24</f>
        <v>168</v>
      </c>
      <c r="K281" s="22" t="str">
        <f t="shared" si="72"/>
        <v>span</v>
      </c>
      <c r="M281" s="23">
        <f t="shared" si="96"/>
        <v>-38540.633333333331</v>
      </c>
      <c r="N281" s="23">
        <f t="shared" si="97"/>
        <v>-4.5859188470841437</v>
      </c>
      <c r="O281" t="s">
        <v>464</v>
      </c>
      <c r="P281">
        <v>2</v>
      </c>
      <c r="Q281" t="s">
        <v>881</v>
      </c>
      <c r="S281" t="s">
        <v>869</v>
      </c>
    </row>
    <row r="282" spans="1:19" x14ac:dyDescent="0.4">
      <c r="A282" t="s">
        <v>1474</v>
      </c>
      <c r="B282" s="24">
        <v>1971</v>
      </c>
      <c r="C282" s="24">
        <v>9</v>
      </c>
      <c r="D282" s="24">
        <v>3</v>
      </c>
      <c r="G282" s="20">
        <f t="shared" si="85"/>
        <v>52747200</v>
      </c>
      <c r="K282" s="22" t="str">
        <f t="shared" si="72"/>
        <v>point</v>
      </c>
      <c r="M282" s="23">
        <f t="shared" si="96"/>
        <v>-38444.633333333331</v>
      </c>
      <c r="N282" s="23">
        <f t="shared" si="97"/>
        <v>-4.5848357231650283</v>
      </c>
      <c r="O282" t="s">
        <v>462</v>
      </c>
      <c r="P282">
        <v>3</v>
      </c>
      <c r="Q282" t="s">
        <v>882</v>
      </c>
      <c r="S282" t="s">
        <v>869</v>
      </c>
    </row>
    <row r="283" spans="1:19" x14ac:dyDescent="0.4">
      <c r="A283" t="s">
        <v>1474</v>
      </c>
      <c r="B283" s="24">
        <v>1971</v>
      </c>
      <c r="C283" s="24">
        <v>10</v>
      </c>
      <c r="D283" s="24">
        <v>7</v>
      </c>
      <c r="E283" s="24">
        <v>23</v>
      </c>
      <c r="G283" s="20">
        <f t="shared" si="85"/>
        <v>55724399.999999896</v>
      </c>
      <c r="H283" s="20">
        <v>2</v>
      </c>
      <c r="K283" s="22" t="str">
        <f t="shared" si="72"/>
        <v>span</v>
      </c>
      <c r="M283" s="23">
        <f t="shared" si="96"/>
        <v>-37617.633333333368</v>
      </c>
      <c r="N283" s="23">
        <f t="shared" si="97"/>
        <v>-4.5753914689760435</v>
      </c>
      <c r="O283" t="s">
        <v>462</v>
      </c>
      <c r="P283">
        <v>4</v>
      </c>
      <c r="Q283" t="s">
        <v>883</v>
      </c>
      <c r="S283" t="s">
        <v>869</v>
      </c>
    </row>
    <row r="284" spans="1:19" x14ac:dyDescent="0.4">
      <c r="A284" t="s">
        <v>1474</v>
      </c>
      <c r="B284" s="24">
        <v>1971</v>
      </c>
      <c r="C284" s="24">
        <v>11</v>
      </c>
      <c r="D284" s="24">
        <v>28</v>
      </c>
      <c r="G284" s="20">
        <f t="shared" si="85"/>
        <v>60177600</v>
      </c>
      <c r="H284" s="20">
        <v>48</v>
      </c>
      <c r="K284" s="22" t="str">
        <f t="shared" si="72"/>
        <v>span</v>
      </c>
      <c r="M284" s="23">
        <f t="shared" si="96"/>
        <v>-36380.633333333331</v>
      </c>
      <c r="N284" s="23">
        <f t="shared" si="97"/>
        <v>-4.56087025522163</v>
      </c>
      <c r="O284" t="s">
        <v>464</v>
      </c>
      <c r="P284">
        <v>2</v>
      </c>
      <c r="Q284" t="s">
        <v>884</v>
      </c>
      <c r="S284" t="s">
        <v>869</v>
      </c>
    </row>
    <row r="285" spans="1:19" x14ac:dyDescent="0.4">
      <c r="A285" t="s">
        <v>1474</v>
      </c>
      <c r="B285" s="24">
        <v>1971</v>
      </c>
      <c r="C285" s="24">
        <v>12</v>
      </c>
      <c r="D285" s="24">
        <v>19</v>
      </c>
      <c r="G285" s="20">
        <f t="shared" si="85"/>
        <v>61992000</v>
      </c>
      <c r="H285" s="20">
        <v>48</v>
      </c>
      <c r="K285" s="22" t="str">
        <f t="shared" si="72"/>
        <v>span</v>
      </c>
      <c r="M285" s="23">
        <f t="shared" si="96"/>
        <v>-35876.633333333331</v>
      </c>
      <c r="N285" s="23">
        <f t="shared" si="97"/>
        <v>-4.5548116820488502</v>
      </c>
      <c r="O285" t="s">
        <v>464</v>
      </c>
      <c r="P285">
        <v>2</v>
      </c>
      <c r="Q285" t="s">
        <v>884</v>
      </c>
      <c r="S285" t="s">
        <v>869</v>
      </c>
    </row>
    <row r="286" spans="1:19" x14ac:dyDescent="0.4">
      <c r="A286" t="s">
        <v>1474</v>
      </c>
      <c r="B286" s="24">
        <v>1975</v>
      </c>
      <c r="C286" s="24">
        <v>5</v>
      </c>
      <c r="G286" s="20">
        <f t="shared" si="85"/>
        <v>169430400</v>
      </c>
      <c r="H286" s="20">
        <f>8*30*24</f>
        <v>5760</v>
      </c>
      <c r="J286" t="s">
        <v>919</v>
      </c>
      <c r="K286" s="22" t="str">
        <f t="shared" si="72"/>
        <v>span</v>
      </c>
      <c r="M286" s="23">
        <f t="shared" si="96"/>
        <v>-6032.6333333333332</v>
      </c>
      <c r="N286" s="23">
        <f t="shared" si="97"/>
        <v>-3.7805069294686802</v>
      </c>
      <c r="O286" t="s">
        <v>464</v>
      </c>
      <c r="P286">
        <v>1</v>
      </c>
      <c r="Q286" t="s">
        <v>886</v>
      </c>
      <c r="S286" t="s">
        <v>906</v>
      </c>
    </row>
    <row r="287" spans="1:19" x14ac:dyDescent="0.4">
      <c r="A287" t="s">
        <v>1474</v>
      </c>
      <c r="B287" s="24">
        <v>1975</v>
      </c>
      <c r="C287" s="24">
        <v>5</v>
      </c>
      <c r="D287" s="24">
        <v>2</v>
      </c>
      <c r="G287" s="20">
        <f t="shared" si="85"/>
        <v>168264000</v>
      </c>
      <c r="H287" s="20">
        <f>4*24</f>
        <v>96</v>
      </c>
      <c r="J287" t="s">
        <v>919</v>
      </c>
      <c r="K287" s="22" t="str">
        <f t="shared" si="72"/>
        <v>span</v>
      </c>
      <c r="M287" s="23">
        <f t="shared" si="96"/>
        <v>-6356.6333333333332</v>
      </c>
      <c r="N287" s="23">
        <f t="shared" si="97"/>
        <v>-3.8032271609502519</v>
      </c>
      <c r="O287" t="s">
        <v>464</v>
      </c>
      <c r="P287">
        <v>2</v>
      </c>
      <c r="Q287" t="s">
        <v>885</v>
      </c>
      <c r="S287" t="s">
        <v>906</v>
      </c>
    </row>
    <row r="288" spans="1:19" x14ac:dyDescent="0.4">
      <c r="A288" t="s">
        <v>1474</v>
      </c>
      <c r="B288" s="24">
        <v>1975</v>
      </c>
      <c r="C288" s="24">
        <v>5</v>
      </c>
      <c r="D288" s="24">
        <v>27</v>
      </c>
      <c r="G288" s="20">
        <f t="shared" si="85"/>
        <v>170424000</v>
      </c>
      <c r="J288" t="s">
        <v>919</v>
      </c>
      <c r="K288" s="22" t="str">
        <f t="shared" si="72"/>
        <v>point</v>
      </c>
      <c r="M288" s="23">
        <f t="shared" si="96"/>
        <v>-5756.6333333333332</v>
      </c>
      <c r="N288" s="23">
        <f t="shared" si="97"/>
        <v>-3.7601685681069781</v>
      </c>
      <c r="O288" t="s">
        <v>464</v>
      </c>
      <c r="P288">
        <v>2</v>
      </c>
      <c r="Q288" t="s">
        <v>885</v>
      </c>
      <c r="S288" t="s">
        <v>906</v>
      </c>
    </row>
    <row r="289" spans="1:19" x14ac:dyDescent="0.4">
      <c r="A289" t="s">
        <v>1474</v>
      </c>
      <c r="B289" s="24">
        <v>1975</v>
      </c>
      <c r="C289" s="24">
        <v>10</v>
      </c>
      <c r="G289" s="20">
        <f t="shared" si="85"/>
        <v>182649600</v>
      </c>
      <c r="J289" t="s">
        <v>919</v>
      </c>
      <c r="K289" s="22" t="str">
        <f t="shared" si="72"/>
        <v>point</v>
      </c>
      <c r="M289" s="23">
        <f t="shared" si="96"/>
        <v>-2360.6333333333332</v>
      </c>
      <c r="N289" s="23">
        <f t="shared" si="97"/>
        <v>-3.37302853528859</v>
      </c>
      <c r="O289" t="s">
        <v>462</v>
      </c>
      <c r="P289">
        <v>3</v>
      </c>
      <c r="Q289" t="s">
        <v>887</v>
      </c>
      <c r="S289" t="s">
        <v>906</v>
      </c>
    </row>
    <row r="290" spans="1:19" x14ac:dyDescent="0.4">
      <c r="A290" t="s">
        <v>1474</v>
      </c>
      <c r="B290" s="24">
        <v>1976</v>
      </c>
      <c r="C290" s="24">
        <v>1</v>
      </c>
      <c r="D290" s="24">
        <v>22</v>
      </c>
      <c r="E290" s="24">
        <v>7</v>
      </c>
      <c r="F290" s="24">
        <v>59</v>
      </c>
      <c r="G290" s="20">
        <f t="shared" si="85"/>
        <v>191145540</v>
      </c>
      <c r="J290" t="s">
        <v>919</v>
      </c>
      <c r="K290" s="22" t="str">
        <f t="shared" si="72"/>
        <v>point</v>
      </c>
      <c r="M290" s="23">
        <f t="shared" si="96"/>
        <v>-0.65</v>
      </c>
      <c r="N290" s="23">
        <f t="shared" si="97"/>
        <v>0.18708664335714442</v>
      </c>
      <c r="O290" t="s">
        <v>464</v>
      </c>
      <c r="P290">
        <v>2</v>
      </c>
      <c r="Q290" t="s">
        <v>888</v>
      </c>
      <c r="S290" t="s">
        <v>906</v>
      </c>
    </row>
    <row r="291" spans="1:19" x14ac:dyDescent="0.4">
      <c r="A291" t="s">
        <v>1474</v>
      </c>
      <c r="B291" s="24">
        <v>1976</v>
      </c>
      <c r="C291" s="24">
        <v>1</v>
      </c>
      <c r="D291" s="24">
        <v>22</v>
      </c>
      <c r="E291" s="24">
        <v>8</v>
      </c>
      <c r="F291" s="24">
        <v>38</v>
      </c>
      <c r="G291" s="20">
        <f t="shared" si="85"/>
        <v>191147880.00000009</v>
      </c>
      <c r="J291" t="s">
        <v>919</v>
      </c>
      <c r="K291" s="22" t="str">
        <f t="shared" si="72"/>
        <v>point</v>
      </c>
      <c r="L291" s="20" t="s">
        <v>915</v>
      </c>
      <c r="M291" s="23">
        <f t="shared" si="96"/>
        <v>2.4835268656412762E-11</v>
      </c>
      <c r="N291" s="23">
        <f t="shared" si="97"/>
        <v>-10.604931137647155</v>
      </c>
      <c r="O291" t="s">
        <v>462</v>
      </c>
      <c r="P291">
        <v>4</v>
      </c>
      <c r="Q291" t="s">
        <v>889</v>
      </c>
      <c r="S291" t="s">
        <v>906</v>
      </c>
    </row>
    <row r="292" spans="1:19" x14ac:dyDescent="0.4">
      <c r="A292" t="s">
        <v>1474</v>
      </c>
      <c r="B292" s="24">
        <v>1976</v>
      </c>
      <c r="C292" s="24">
        <v>1</v>
      </c>
      <c r="D292" s="24">
        <v>22</v>
      </c>
      <c r="E292" s="24">
        <v>10</v>
      </c>
      <c r="G292" s="20">
        <f t="shared" si="85"/>
        <v>191152800.00000012</v>
      </c>
      <c r="J292" t="s">
        <v>919</v>
      </c>
      <c r="K292" s="22" t="str">
        <f t="shared" si="72"/>
        <v>point</v>
      </c>
      <c r="M292" s="23">
        <f t="shared" si="96"/>
        <v>1.3666666666997804</v>
      </c>
      <c r="N292" s="23">
        <f t="shared" si="97"/>
        <v>0.13566260201059582</v>
      </c>
      <c r="O292" t="s">
        <v>462</v>
      </c>
      <c r="P292">
        <v>6</v>
      </c>
      <c r="Q292" t="s">
        <v>890</v>
      </c>
      <c r="S292" t="s">
        <v>906</v>
      </c>
    </row>
    <row r="293" spans="1:19" x14ac:dyDescent="0.4">
      <c r="A293" t="s">
        <v>1474</v>
      </c>
      <c r="B293" s="24">
        <v>1976</v>
      </c>
      <c r="C293" s="24">
        <v>1</v>
      </c>
      <c r="D293" s="24">
        <v>22</v>
      </c>
      <c r="E293" s="24">
        <v>16</v>
      </c>
      <c r="F293" s="24">
        <v>19</v>
      </c>
      <c r="G293" s="20">
        <f t="shared" si="85"/>
        <v>191175540.00000006</v>
      </c>
      <c r="H293" s="20">
        <v>0.5</v>
      </c>
      <c r="J293" t="s">
        <v>919</v>
      </c>
      <c r="K293" s="22" t="str">
        <f t="shared" si="72"/>
        <v>span</v>
      </c>
      <c r="M293" s="23">
        <f t="shared" si="96"/>
        <v>7.6833333333498901</v>
      </c>
      <c r="N293" s="23">
        <f t="shared" si="97"/>
        <v>0.88554967500694037</v>
      </c>
      <c r="O293" t="s">
        <v>462</v>
      </c>
      <c r="P293">
        <v>4</v>
      </c>
      <c r="Q293" t="s">
        <v>895</v>
      </c>
      <c r="S293" t="s">
        <v>906</v>
      </c>
    </row>
    <row r="294" spans="1:19" x14ac:dyDescent="0.4">
      <c r="A294" t="s">
        <v>1474</v>
      </c>
      <c r="B294" s="24">
        <v>1976</v>
      </c>
      <c r="C294" s="24">
        <v>1</v>
      </c>
      <c r="D294" s="24">
        <v>22</v>
      </c>
      <c r="E294" s="24">
        <v>18</v>
      </c>
      <c r="G294" s="20">
        <f t="shared" si="85"/>
        <v>191181600</v>
      </c>
      <c r="H294" s="20">
        <v>1</v>
      </c>
      <c r="J294" t="s">
        <v>919</v>
      </c>
      <c r="K294" s="22" t="str">
        <f t="shared" si="72"/>
        <v>span</v>
      </c>
      <c r="M294" s="23">
        <f t="shared" si="96"/>
        <v>9.3666666666666671</v>
      </c>
      <c r="N294" s="23">
        <f t="shared" si="97"/>
        <v>0.97158506518541743</v>
      </c>
      <c r="O294" t="s">
        <v>464</v>
      </c>
      <c r="P294">
        <v>2</v>
      </c>
      <c r="Q294" t="s">
        <v>891</v>
      </c>
      <c r="S294" t="s">
        <v>906</v>
      </c>
    </row>
    <row r="295" spans="1:19" x14ac:dyDescent="0.4">
      <c r="A295" t="s">
        <v>1474</v>
      </c>
      <c r="B295" s="24">
        <v>1976</v>
      </c>
      <c r="C295" s="24">
        <v>1</v>
      </c>
      <c r="D295" s="24">
        <v>23</v>
      </c>
      <c r="E295" s="24">
        <v>3</v>
      </c>
      <c r="F295" s="24">
        <v>53</v>
      </c>
      <c r="G295" s="20">
        <f t="shared" si="85"/>
        <v>191217180</v>
      </c>
      <c r="H295" s="20">
        <v>7</v>
      </c>
      <c r="J295" t="s">
        <v>919</v>
      </c>
      <c r="K295" s="22" t="str">
        <f t="shared" si="72"/>
        <v>span</v>
      </c>
      <c r="M295" s="23">
        <f t="shared" si="96"/>
        <v>19.25</v>
      </c>
      <c r="N295" s="23">
        <f t="shared" si="97"/>
        <v>1.2844307338445196</v>
      </c>
      <c r="O295" t="s">
        <v>462</v>
      </c>
      <c r="P295">
        <v>4</v>
      </c>
      <c r="Q295" t="s">
        <v>897</v>
      </c>
      <c r="S295" t="s">
        <v>906</v>
      </c>
    </row>
    <row r="296" spans="1:19" x14ac:dyDescent="0.4">
      <c r="A296" t="s">
        <v>1474</v>
      </c>
      <c r="B296" s="24">
        <v>1976</v>
      </c>
      <c r="C296" s="24">
        <v>1</v>
      </c>
      <c r="D296" s="24">
        <v>23</v>
      </c>
      <c r="E296" s="24">
        <v>6</v>
      </c>
      <c r="F296" s="24">
        <v>12</v>
      </c>
      <c r="G296" s="20">
        <f t="shared" si="85"/>
        <v>191225520.00000015</v>
      </c>
      <c r="J296" t="s">
        <v>919</v>
      </c>
      <c r="K296" s="22" t="str">
        <f t="shared" si="72"/>
        <v>point</v>
      </c>
      <c r="M296" s="23">
        <f t="shared" si="96"/>
        <v>21.566666666708059</v>
      </c>
      <c r="N296" s="23">
        <f t="shared" si="97"/>
        <v>1.3337830259498715</v>
      </c>
      <c r="O296" t="s">
        <v>462</v>
      </c>
      <c r="P296">
        <v>5</v>
      </c>
      <c r="Q296" t="s">
        <v>894</v>
      </c>
      <c r="S296" t="s">
        <v>906</v>
      </c>
    </row>
    <row r="297" spans="1:19" x14ac:dyDescent="0.4">
      <c r="A297" t="s">
        <v>1474</v>
      </c>
      <c r="B297" s="24">
        <v>1976</v>
      </c>
      <c r="C297" s="24">
        <v>1</v>
      </c>
      <c r="D297" s="24">
        <v>23</v>
      </c>
      <c r="E297" s="24">
        <v>9</v>
      </c>
      <c r="G297" s="20">
        <f t="shared" si="85"/>
        <v>191235600</v>
      </c>
      <c r="J297" t="s">
        <v>919</v>
      </c>
      <c r="K297" s="22" t="str">
        <f t="shared" si="72"/>
        <v>point</v>
      </c>
      <c r="M297" s="23">
        <f t="shared" si="96"/>
        <v>24.366666666666667</v>
      </c>
      <c r="N297" s="23">
        <f t="shared" si="97"/>
        <v>1.3867961222381979</v>
      </c>
      <c r="O297" t="s">
        <v>462</v>
      </c>
      <c r="P297">
        <v>5</v>
      </c>
      <c r="Q297" t="s">
        <v>901</v>
      </c>
      <c r="S297" t="s">
        <v>906</v>
      </c>
    </row>
    <row r="298" spans="1:19" x14ac:dyDescent="0.4">
      <c r="A298" t="s">
        <v>1474</v>
      </c>
      <c r="B298" s="24">
        <v>1976</v>
      </c>
      <c r="C298" s="24">
        <v>1</v>
      </c>
      <c r="D298" s="24">
        <v>23</v>
      </c>
      <c r="E298" s="24">
        <v>16</v>
      </c>
      <c r="G298" s="20">
        <f t="shared" si="85"/>
        <v>191260800.00000012</v>
      </c>
      <c r="J298" t="s">
        <v>919</v>
      </c>
      <c r="K298" s="22" t="str">
        <f t="shared" si="72"/>
        <v>point</v>
      </c>
      <c r="M298" s="23">
        <f t="shared" si="96"/>
        <v>31.366666666699782</v>
      </c>
      <c r="N298" s="23">
        <f t="shared" si="97"/>
        <v>1.4964683687080529</v>
      </c>
      <c r="O298" t="s">
        <v>462</v>
      </c>
      <c r="P298">
        <v>5</v>
      </c>
      <c r="Q298" t="s">
        <v>896</v>
      </c>
      <c r="S298" t="s">
        <v>906</v>
      </c>
    </row>
    <row r="299" spans="1:19" x14ac:dyDescent="0.4">
      <c r="A299" t="s">
        <v>1474</v>
      </c>
      <c r="B299" s="24">
        <v>1976</v>
      </c>
      <c r="C299" s="24">
        <v>1</v>
      </c>
      <c r="D299" s="24">
        <v>24</v>
      </c>
      <c r="E299" s="24">
        <v>1</v>
      </c>
      <c r="F299" s="24">
        <v>30</v>
      </c>
      <c r="G299" s="20">
        <f t="shared" si="85"/>
        <v>191295000</v>
      </c>
      <c r="J299" t="s">
        <v>919</v>
      </c>
      <c r="K299" s="22" t="str">
        <f t="shared" si="72"/>
        <v>point</v>
      </c>
      <c r="M299" s="23">
        <f t="shared" si="96"/>
        <v>40.866666666666667</v>
      </c>
      <c r="N299" s="23">
        <f t="shared" si="97"/>
        <v>1.6113692154627337</v>
      </c>
      <c r="O299" t="s">
        <v>462</v>
      </c>
      <c r="P299">
        <v>4</v>
      </c>
      <c r="Q299" t="s">
        <v>898</v>
      </c>
      <c r="S299" t="s">
        <v>906</v>
      </c>
    </row>
    <row r="300" spans="1:19" x14ac:dyDescent="0.4">
      <c r="A300" t="s">
        <v>1474</v>
      </c>
      <c r="B300" s="24">
        <v>1976</v>
      </c>
      <c r="C300" s="24">
        <v>1</v>
      </c>
      <c r="D300" s="24">
        <v>24</v>
      </c>
      <c r="E300" s="24">
        <v>9</v>
      </c>
      <c r="G300" s="20">
        <f t="shared" si="85"/>
        <v>191322000</v>
      </c>
      <c r="J300" t="s">
        <v>919</v>
      </c>
      <c r="K300" s="22" t="str">
        <f t="shared" si="72"/>
        <v>point</v>
      </c>
      <c r="M300" s="23">
        <f t="shared" si="96"/>
        <v>48.366666666666667</v>
      </c>
      <c r="N300" s="23">
        <f t="shared" si="97"/>
        <v>1.6845461577180734</v>
      </c>
      <c r="O300" t="s">
        <v>462</v>
      </c>
      <c r="P300">
        <v>5</v>
      </c>
      <c r="Q300" t="s">
        <v>902</v>
      </c>
      <c r="S300" t="s">
        <v>906</v>
      </c>
    </row>
    <row r="301" spans="1:19" x14ac:dyDescent="0.4">
      <c r="A301" t="s">
        <v>1474</v>
      </c>
      <c r="B301" s="24">
        <v>1976</v>
      </c>
      <c r="C301" s="24">
        <v>1</v>
      </c>
      <c r="D301" s="24">
        <v>25</v>
      </c>
      <c r="E301" s="24">
        <v>5</v>
      </c>
      <c r="G301" s="20">
        <f t="shared" si="85"/>
        <v>191393999.99999988</v>
      </c>
      <c r="J301" t="s">
        <v>919</v>
      </c>
      <c r="K301" s="22" t="str">
        <f t="shared" si="72"/>
        <v>point</v>
      </c>
      <c r="L301" s="20" t="s">
        <v>916</v>
      </c>
      <c r="M301" s="23">
        <f t="shared" si="96"/>
        <v>68.366666666633549</v>
      </c>
      <c r="N301" s="23">
        <f t="shared" si="97"/>
        <v>1.8348444056484934</v>
      </c>
      <c r="O301" t="s">
        <v>462</v>
      </c>
      <c r="P301">
        <v>6</v>
      </c>
      <c r="Q301" t="s">
        <v>899</v>
      </c>
      <c r="R301" t="s">
        <v>920</v>
      </c>
      <c r="S301" t="s">
        <v>906</v>
      </c>
    </row>
    <row r="302" spans="1:19" x14ac:dyDescent="0.4">
      <c r="A302" t="s">
        <v>1474</v>
      </c>
      <c r="B302" s="24">
        <v>1976</v>
      </c>
      <c r="C302" s="24">
        <v>1</v>
      </c>
      <c r="D302" s="24">
        <v>25</v>
      </c>
      <c r="E302" s="24">
        <v>14</v>
      </c>
      <c r="G302" s="20">
        <f t="shared" si="85"/>
        <v>191426399.99999988</v>
      </c>
      <c r="J302" t="s">
        <v>919</v>
      </c>
      <c r="K302" s="22" t="str">
        <f t="shared" si="72"/>
        <v>point</v>
      </c>
      <c r="M302" s="23">
        <f t="shared" si="96"/>
        <v>77.366666666633549</v>
      </c>
      <c r="N302" s="23">
        <f t="shared" si="97"/>
        <v>1.8885538857360693</v>
      </c>
      <c r="O302" t="s">
        <v>462</v>
      </c>
      <c r="P302">
        <v>4</v>
      </c>
      <c r="Q302" t="s">
        <v>900</v>
      </c>
      <c r="S302" t="s">
        <v>906</v>
      </c>
    </row>
    <row r="303" spans="1:19" x14ac:dyDescent="0.4">
      <c r="A303" t="s">
        <v>1474</v>
      </c>
      <c r="B303" s="24">
        <v>1976</v>
      </c>
      <c r="C303" s="24">
        <v>2</v>
      </c>
      <c r="D303" s="24">
        <v>6</v>
      </c>
      <c r="E303" s="24">
        <v>15</v>
      </c>
      <c r="F303" s="24">
        <v>44</v>
      </c>
      <c r="G303" s="20">
        <f t="shared" si="85"/>
        <v>192469440.00000012</v>
      </c>
      <c r="H303" s="20">
        <f>8*24</f>
        <v>192</v>
      </c>
      <c r="J303" t="s">
        <v>919</v>
      </c>
      <c r="K303" s="22" t="str">
        <f t="shared" si="72"/>
        <v>span</v>
      </c>
      <c r="M303" s="23">
        <f t="shared" si="96"/>
        <v>367.10000000003311</v>
      </c>
      <c r="N303" s="23">
        <f t="shared" si="97"/>
        <v>2.5647843845040259</v>
      </c>
      <c r="O303" t="s">
        <v>462</v>
      </c>
      <c r="P303">
        <v>4</v>
      </c>
      <c r="Q303" t="s">
        <v>914</v>
      </c>
      <c r="S303" t="s">
        <v>905</v>
      </c>
    </row>
    <row r="304" spans="1:19" x14ac:dyDescent="0.4">
      <c r="A304" t="s">
        <v>1474</v>
      </c>
      <c r="B304" s="24">
        <v>1976</v>
      </c>
      <c r="C304" s="24">
        <v>2</v>
      </c>
      <c r="D304" s="24">
        <v>8</v>
      </c>
      <c r="G304" s="20">
        <f t="shared" si="85"/>
        <v>192628800</v>
      </c>
      <c r="J304" t="s">
        <v>919</v>
      </c>
      <c r="K304" s="22" t="str">
        <f t="shared" si="72"/>
        <v>point</v>
      </c>
      <c r="M304" s="23">
        <f t="shared" si="96"/>
        <v>411.36666666666667</v>
      </c>
      <c r="N304" s="23">
        <f t="shared" si="97"/>
        <v>2.6142290975939164</v>
      </c>
      <c r="O304" t="s">
        <v>462</v>
      </c>
      <c r="P304">
        <v>5</v>
      </c>
      <c r="Q304" t="s">
        <v>917</v>
      </c>
      <c r="S304" t="s">
        <v>905</v>
      </c>
    </row>
    <row r="305" spans="1:19" x14ac:dyDescent="0.4">
      <c r="A305" t="s">
        <v>1474</v>
      </c>
      <c r="B305" s="24">
        <v>1976</v>
      </c>
      <c r="C305" s="24">
        <v>2</v>
      </c>
      <c r="D305" s="24">
        <v>12</v>
      </c>
      <c r="G305" s="20">
        <f t="shared" si="85"/>
        <v>192974400</v>
      </c>
      <c r="J305" t="s">
        <v>919</v>
      </c>
      <c r="K305" s="22" t="str">
        <f t="shared" si="72"/>
        <v>point</v>
      </c>
      <c r="M305" s="23">
        <f t="shared" si="96"/>
        <v>507.36666666666667</v>
      </c>
      <c r="N305" s="23">
        <f t="shared" si="97"/>
        <v>2.7053219312375787</v>
      </c>
      <c r="O305" t="s">
        <v>462</v>
      </c>
      <c r="P305">
        <v>3</v>
      </c>
      <c r="Q305" t="s">
        <v>903</v>
      </c>
      <c r="S305" t="s">
        <v>905</v>
      </c>
    </row>
    <row r="306" spans="1:19" x14ac:dyDescent="0.4">
      <c r="A306" t="s">
        <v>1474</v>
      </c>
      <c r="B306" s="24">
        <v>1976</v>
      </c>
      <c r="C306" s="24">
        <v>4</v>
      </c>
      <c r="D306" s="24">
        <v>13</v>
      </c>
      <c r="G306" s="20">
        <f t="shared" si="85"/>
        <v>198244800</v>
      </c>
      <c r="H306" s="20">
        <f>5*24</f>
        <v>120</v>
      </c>
      <c r="J306" t="s">
        <v>919</v>
      </c>
      <c r="K306" s="22" t="str">
        <f t="shared" si="72"/>
        <v>span</v>
      </c>
      <c r="M306" s="23">
        <f t="shared" si="96"/>
        <v>1971.3666666666666</v>
      </c>
      <c r="N306" s="23">
        <f t="shared" si="97"/>
        <v>3.2947674089065235</v>
      </c>
      <c r="O306" t="s">
        <v>462</v>
      </c>
      <c r="P306">
        <v>3</v>
      </c>
      <c r="Q306" t="s">
        <v>907</v>
      </c>
      <c r="R306" t="s">
        <v>904</v>
      </c>
      <c r="S306" t="s">
        <v>905</v>
      </c>
    </row>
    <row r="307" spans="1:19" x14ac:dyDescent="0.4">
      <c r="A307" t="s">
        <v>1474</v>
      </c>
      <c r="B307" s="24">
        <v>1985</v>
      </c>
      <c r="C307" s="24">
        <v>7</v>
      </c>
      <c r="G307" s="20">
        <f t="shared" si="85"/>
        <v>490320000</v>
      </c>
      <c r="K307" s="22" t="str">
        <f t="shared" si="72"/>
        <v>point</v>
      </c>
      <c r="M307" s="23">
        <f t="shared" si="96"/>
        <v>83103.366666666669</v>
      </c>
      <c r="N307" s="23">
        <f t="shared" si="97"/>
        <v>4.9196186181901123</v>
      </c>
      <c r="O307" t="s">
        <v>464</v>
      </c>
      <c r="P307">
        <v>1</v>
      </c>
      <c r="Q307" t="s">
        <v>875</v>
      </c>
      <c r="S307" t="s">
        <v>869</v>
      </c>
    </row>
    <row r="308" spans="1:19" x14ac:dyDescent="0.4">
      <c r="A308" t="s">
        <v>1474</v>
      </c>
      <c r="B308" s="24">
        <v>1986</v>
      </c>
      <c r="C308" s="24">
        <v>3</v>
      </c>
      <c r="D308" s="24">
        <v>26</v>
      </c>
      <c r="G308" s="20">
        <f t="shared" si="85"/>
        <v>512222400</v>
      </c>
      <c r="K308" s="22" t="str">
        <f t="shared" si="72"/>
        <v>point</v>
      </c>
      <c r="M308" s="23">
        <f t="shared" si="96"/>
        <v>89187.366666666669</v>
      </c>
      <c r="N308" s="23">
        <f t="shared" si="97"/>
        <v>4.9503033411976238</v>
      </c>
      <c r="O308" t="s">
        <v>464</v>
      </c>
      <c r="P308">
        <v>2</v>
      </c>
      <c r="Q308" t="s">
        <v>876</v>
      </c>
      <c r="S308" t="s">
        <v>869</v>
      </c>
    </row>
    <row r="309" spans="1:19" x14ac:dyDescent="0.4">
      <c r="A309" t="s">
        <v>1474</v>
      </c>
      <c r="B309" s="24">
        <v>1986</v>
      </c>
      <c r="C309" s="24">
        <v>3</v>
      </c>
      <c r="D309" s="24">
        <v>27</v>
      </c>
      <c r="G309" s="20">
        <f t="shared" si="85"/>
        <v>512308800</v>
      </c>
      <c r="H309" s="20">
        <v>103</v>
      </c>
      <c r="K309" s="22" t="str">
        <f t="shared" si="72"/>
        <v>span</v>
      </c>
      <c r="M309" s="23">
        <f t="shared" si="96"/>
        <v>89211.366666666669</v>
      </c>
      <c r="N309" s="23">
        <f t="shared" si="97"/>
        <v>4.9504201925612383</v>
      </c>
      <c r="O309" t="s">
        <v>462</v>
      </c>
      <c r="P309">
        <v>4</v>
      </c>
      <c r="Q309" t="s">
        <v>910</v>
      </c>
      <c r="S309" t="s">
        <v>869</v>
      </c>
    </row>
    <row r="310" spans="1:19" x14ac:dyDescent="0.4">
      <c r="A310" t="s">
        <v>1474</v>
      </c>
      <c r="B310" s="24">
        <v>1986</v>
      </c>
      <c r="C310" s="24">
        <v>3</v>
      </c>
      <c r="D310" s="24">
        <v>31</v>
      </c>
      <c r="E310" s="24">
        <v>10</v>
      </c>
      <c r="F310" s="24">
        <v>55</v>
      </c>
      <c r="G310" s="20">
        <f t="shared" si="85"/>
        <v>512650499.99999988</v>
      </c>
      <c r="K310" s="22" t="str">
        <f t="shared" si="72"/>
        <v>point</v>
      </c>
      <c r="M310" s="23">
        <f t="shared" si="96"/>
        <v>89306.283333333296</v>
      </c>
      <c r="N310" s="23">
        <f t="shared" si="97"/>
        <v>4.9508820156746216</v>
      </c>
      <c r="O310" t="s">
        <v>462</v>
      </c>
      <c r="P310">
        <v>5</v>
      </c>
      <c r="Q310" t="s">
        <v>911</v>
      </c>
      <c r="S310" t="s">
        <v>905</v>
      </c>
    </row>
    <row r="311" spans="1:19" x14ac:dyDescent="0.4">
      <c r="A311" t="s">
        <v>1474</v>
      </c>
      <c r="B311" s="24">
        <v>1986</v>
      </c>
      <c r="C311" s="24">
        <v>4</v>
      </c>
      <c r="D311" s="24">
        <v>21</v>
      </c>
      <c r="G311" s="20">
        <f t="shared" si="85"/>
        <v>514468800</v>
      </c>
      <c r="H311" s="20">
        <f>16*24</f>
        <v>384</v>
      </c>
      <c r="K311" s="22" t="str">
        <f t="shared" si="72"/>
        <v>span</v>
      </c>
      <c r="M311" s="23">
        <f t="shared" si="96"/>
        <v>89811.366666666669</v>
      </c>
      <c r="N311" s="23">
        <f t="shared" si="97"/>
        <v>4.9533313051329326</v>
      </c>
      <c r="O311" t="s">
        <v>462</v>
      </c>
      <c r="P311">
        <v>3</v>
      </c>
      <c r="Q311" t="s">
        <v>908</v>
      </c>
      <c r="S311" t="s">
        <v>905</v>
      </c>
    </row>
    <row r="312" spans="1:19" x14ac:dyDescent="0.4">
      <c r="A312" t="s">
        <v>1474</v>
      </c>
      <c r="B312" s="24">
        <v>1986</v>
      </c>
      <c r="C312" s="24">
        <v>8</v>
      </c>
      <c r="D312" s="24">
        <v>10</v>
      </c>
      <c r="G312" s="20">
        <f t="shared" si="85"/>
        <v>524059200</v>
      </c>
      <c r="H312" s="20">
        <f>31*24</f>
        <v>744</v>
      </c>
      <c r="K312" s="22" t="str">
        <f t="shared" si="72"/>
        <v>span</v>
      </c>
      <c r="M312" s="23">
        <f t="shared" si="96"/>
        <v>92475.366666666669</v>
      </c>
      <c r="N312" s="23">
        <f t="shared" si="97"/>
        <v>4.9660260619770975</v>
      </c>
      <c r="O312" t="s">
        <v>462</v>
      </c>
      <c r="P312">
        <v>3</v>
      </c>
      <c r="Q312" t="s">
        <v>909</v>
      </c>
      <c r="S312" t="s">
        <v>905</v>
      </c>
    </row>
    <row r="313" spans="1:19" x14ac:dyDescent="0.4">
      <c r="A313" t="s">
        <v>1474</v>
      </c>
      <c r="B313" s="24">
        <v>1988</v>
      </c>
      <c r="C313" s="24">
        <v>7</v>
      </c>
      <c r="D313" s="24">
        <v>30</v>
      </c>
      <c r="E313" s="24">
        <v>14</v>
      </c>
      <c r="F313" s="24">
        <v>5</v>
      </c>
      <c r="G313" s="20">
        <f t="shared" si="85"/>
        <v>586274699.99999988</v>
      </c>
      <c r="K313" s="22" t="str">
        <f t="shared" si="72"/>
        <v>point</v>
      </c>
      <c r="M313" s="23">
        <f t="shared" si="96"/>
        <v>109757.44999999997</v>
      </c>
      <c r="N313" s="23">
        <f t="shared" si="97"/>
        <v>5.0404340084957528</v>
      </c>
      <c r="O313" t="s">
        <v>462</v>
      </c>
      <c r="P313">
        <v>2</v>
      </c>
      <c r="Q313" t="s">
        <v>892</v>
      </c>
      <c r="S313" t="s">
        <v>869</v>
      </c>
    </row>
    <row r="314" spans="1:19" x14ac:dyDescent="0.4">
      <c r="A314" t="s">
        <v>1474</v>
      </c>
      <c r="B314" s="24">
        <v>2005</v>
      </c>
      <c r="C314" s="24">
        <v>5</v>
      </c>
      <c r="G314" s="20">
        <f t="shared" si="85"/>
        <v>1116201600</v>
      </c>
      <c r="H314" s="20">
        <f>180*24</f>
        <v>4320</v>
      </c>
      <c r="K314" s="22" t="str">
        <f t="shared" si="72"/>
        <v>span</v>
      </c>
      <c r="M314" s="23">
        <f t="shared" si="96"/>
        <v>256959.36666666667</v>
      </c>
      <c r="N314" s="23">
        <f t="shared" si="97"/>
        <v>5.4098644531848619</v>
      </c>
      <c r="O314" t="s">
        <v>464</v>
      </c>
      <c r="P314">
        <v>1</v>
      </c>
      <c r="Q314" t="s">
        <v>877</v>
      </c>
      <c r="S314" t="s">
        <v>869</v>
      </c>
    </row>
    <row r="315" spans="1:19" x14ac:dyDescent="0.4">
      <c r="A315" t="s">
        <v>1474</v>
      </c>
      <c r="B315" s="24">
        <v>2005</v>
      </c>
      <c r="C315" s="24">
        <v>12</v>
      </c>
      <c r="D315" s="24">
        <v>2</v>
      </c>
      <c r="G315" s="20">
        <f t="shared" si="85"/>
        <v>1133524800</v>
      </c>
      <c r="H315" s="20">
        <f>40*24</f>
        <v>960</v>
      </c>
      <c r="K315" s="22" t="str">
        <f t="shared" si="72"/>
        <v>span</v>
      </c>
      <c r="M315" s="23">
        <f t="shared" si="96"/>
        <v>261771.36666666667</v>
      </c>
      <c r="N315" s="23">
        <f t="shared" si="97"/>
        <v>5.4179221403860689</v>
      </c>
      <c r="O315" t="s">
        <v>462</v>
      </c>
      <c r="P315">
        <v>4</v>
      </c>
      <c r="Q315" t="s">
        <v>878</v>
      </c>
      <c r="S315" t="s">
        <v>869</v>
      </c>
    </row>
    <row r="316" spans="1:19" x14ac:dyDescent="0.4">
      <c r="A316" t="s">
        <v>1474</v>
      </c>
      <c r="B316" s="24">
        <v>2006</v>
      </c>
      <c r="C316" s="24">
        <v>1</v>
      </c>
      <c r="D316" s="24">
        <v>11</v>
      </c>
      <c r="G316" s="20">
        <f t="shared" si="85"/>
        <v>1136980800</v>
      </c>
      <c r="H316" s="20">
        <f>18*24</f>
        <v>432</v>
      </c>
      <c r="K316" s="22" t="str">
        <f t="shared" si="72"/>
        <v>span</v>
      </c>
      <c r="M316" s="23">
        <f t="shared" si="96"/>
        <v>262731.36666666664</v>
      </c>
      <c r="N316" s="23">
        <f t="shared" si="97"/>
        <v>5.4195119249255859</v>
      </c>
      <c r="O316" t="s">
        <v>462</v>
      </c>
      <c r="P316">
        <v>5</v>
      </c>
      <c r="Q316" t="s">
        <v>879</v>
      </c>
      <c r="S316" t="s">
        <v>869</v>
      </c>
    </row>
    <row r="317" spans="1:19" x14ac:dyDescent="0.4">
      <c r="A317" t="s">
        <v>1474</v>
      </c>
      <c r="B317" s="24">
        <v>2006</v>
      </c>
      <c r="C317" s="24">
        <v>1</v>
      </c>
      <c r="D317" s="24">
        <v>29</v>
      </c>
      <c r="G317" s="20">
        <f t="shared" si="85"/>
        <v>1138536000</v>
      </c>
      <c r="H317" s="20">
        <f>60*24</f>
        <v>1440</v>
      </c>
      <c r="K317" s="22" t="str">
        <f t="shared" si="72"/>
        <v>span</v>
      </c>
      <c r="M317" s="23">
        <f t="shared" si="96"/>
        <v>263163.36666666664</v>
      </c>
      <c r="N317" s="23">
        <f t="shared" si="97"/>
        <v>5.4202254337192315</v>
      </c>
      <c r="O317" t="s">
        <v>462</v>
      </c>
      <c r="P317">
        <v>3</v>
      </c>
      <c r="Q317" t="s">
        <v>880</v>
      </c>
      <c r="S317" t="s">
        <v>869</v>
      </c>
    </row>
    <row r="318" spans="1:19" x14ac:dyDescent="0.4">
      <c r="A318" t="s">
        <v>1474</v>
      </c>
      <c r="B318" s="24">
        <v>2015</v>
      </c>
      <c r="G318" s="20">
        <f t="shared" si="85"/>
        <v>1435708800</v>
      </c>
      <c r="K318" s="22" t="str">
        <f t="shared" si="72"/>
        <v>point</v>
      </c>
      <c r="M318" s="23">
        <f t="shared" si="96"/>
        <v>345711.36666666664</v>
      </c>
      <c r="N318" s="23">
        <f t="shared" si="97"/>
        <v>5.5387136589738697</v>
      </c>
      <c r="O318" t="s">
        <v>462</v>
      </c>
      <c r="P318">
        <v>2</v>
      </c>
      <c r="Q318" t="s">
        <v>893</v>
      </c>
      <c r="S318" t="s">
        <v>869</v>
      </c>
    </row>
    <row r="319" spans="1:19" x14ac:dyDescent="0.4">
      <c r="A319" t="s">
        <v>1417</v>
      </c>
      <c r="B319" s="24">
        <v>1797</v>
      </c>
      <c r="G319" s="20">
        <f t="shared" si="85"/>
        <v>54514598400</v>
      </c>
      <c r="K319" s="22" t="str">
        <f t="shared" si="72"/>
        <v>point</v>
      </c>
      <c r="M319" s="23">
        <f t="shared" ref="M319:M338" si="98">(G319-56967829200)/3600</f>
        <v>-681453</v>
      </c>
      <c r="N319" s="23">
        <f t="shared" si="97"/>
        <v>-5.8334359077942608</v>
      </c>
      <c r="O319" t="s">
        <v>462</v>
      </c>
      <c r="P319">
        <v>3</v>
      </c>
      <c r="Q319" t="s">
        <v>1049</v>
      </c>
      <c r="S319" t="s">
        <v>867</v>
      </c>
    </row>
    <row r="320" spans="1:19" x14ac:dyDescent="0.4">
      <c r="A320" t="s">
        <v>1417</v>
      </c>
      <c r="B320" s="24">
        <v>1872</v>
      </c>
      <c r="C320" s="24">
        <v>4</v>
      </c>
      <c r="G320" s="20">
        <f t="shared" si="85"/>
        <v>56874787200</v>
      </c>
      <c r="J320" t="s">
        <v>656</v>
      </c>
      <c r="K320" s="22" t="str">
        <f t="shared" si="72"/>
        <v>point</v>
      </c>
      <c r="M320" s="23">
        <f t="shared" si="98"/>
        <v>-25845</v>
      </c>
      <c r="N320" s="23">
        <f t="shared" si="89"/>
        <v>-4.41237653650371</v>
      </c>
      <c r="O320" t="s">
        <v>464</v>
      </c>
      <c r="P320">
        <v>2</v>
      </c>
      <c r="Q320" t="s">
        <v>574</v>
      </c>
      <c r="S320" t="s">
        <v>530</v>
      </c>
    </row>
    <row r="321" spans="1:19" x14ac:dyDescent="0.4">
      <c r="A321" t="s">
        <v>1417</v>
      </c>
      <c r="B321" s="24">
        <v>1874</v>
      </c>
      <c r="C321" s="24">
        <v>2</v>
      </c>
      <c r="G321" s="20">
        <f t="shared" si="85"/>
        <v>56932761600</v>
      </c>
      <c r="J321" t="s">
        <v>656</v>
      </c>
      <c r="K321" s="22" t="str">
        <f t="shared" si="72"/>
        <v>point</v>
      </c>
      <c r="M321" s="23">
        <f t="shared" si="98"/>
        <v>-9741</v>
      </c>
      <c r="N321" s="23">
        <f t="shared" si="89"/>
        <v>-3.9886035433456639</v>
      </c>
      <c r="O321" t="s">
        <v>462</v>
      </c>
      <c r="P321">
        <v>2</v>
      </c>
      <c r="Q321" t="s">
        <v>575</v>
      </c>
      <c r="S321" t="s">
        <v>530</v>
      </c>
    </row>
    <row r="322" spans="1:19" x14ac:dyDescent="0.4">
      <c r="A322" t="s">
        <v>1417</v>
      </c>
      <c r="B322" s="24">
        <v>1874</v>
      </c>
      <c r="C322" s="24">
        <v>9</v>
      </c>
      <c r="G322" s="20">
        <f t="shared" si="85"/>
        <v>56951078400</v>
      </c>
      <c r="J322" t="s">
        <v>656</v>
      </c>
      <c r="K322" s="22" t="str">
        <f t="shared" si="72"/>
        <v>point</v>
      </c>
      <c r="M322" s="23">
        <f t="shared" si="98"/>
        <v>-4653</v>
      </c>
      <c r="N322" s="23">
        <f t="shared" si="89"/>
        <v>-3.6677330525332672</v>
      </c>
      <c r="O322" t="s">
        <v>486</v>
      </c>
      <c r="P322">
        <v>2</v>
      </c>
      <c r="Q322" t="s">
        <v>576</v>
      </c>
      <c r="S322" t="s">
        <v>530</v>
      </c>
    </row>
    <row r="323" spans="1:19" x14ac:dyDescent="0.4">
      <c r="A323" t="s">
        <v>1417</v>
      </c>
      <c r="B323" s="24">
        <v>1874</v>
      </c>
      <c r="C323" s="24">
        <v>12</v>
      </c>
      <c r="D323" s="24">
        <v>15</v>
      </c>
      <c r="G323" s="20">
        <f t="shared" si="85"/>
        <v>56958897600</v>
      </c>
      <c r="J323" t="s">
        <v>656</v>
      </c>
      <c r="K323" s="22" t="str">
        <f t="shared" si="72"/>
        <v>point</v>
      </c>
      <c r="M323" s="23">
        <f t="shared" si="98"/>
        <v>-2481</v>
      </c>
      <c r="N323" s="23">
        <f t="shared" si="89"/>
        <v>-3.3946267642722092</v>
      </c>
      <c r="O323" t="s">
        <v>464</v>
      </c>
      <c r="P323">
        <v>2</v>
      </c>
      <c r="Q323" t="s">
        <v>577</v>
      </c>
      <c r="S323" t="s">
        <v>530</v>
      </c>
    </row>
    <row r="324" spans="1:19" x14ac:dyDescent="0.4">
      <c r="A324" t="s">
        <v>1417</v>
      </c>
      <c r="B324" s="24">
        <v>1874</v>
      </c>
      <c r="C324" s="24">
        <v>12</v>
      </c>
      <c r="D324" s="24">
        <v>24</v>
      </c>
      <c r="G324" s="20">
        <f t="shared" si="85"/>
        <v>56959675200</v>
      </c>
      <c r="H324" s="20">
        <f>7*24</f>
        <v>168</v>
      </c>
      <c r="J324" t="s">
        <v>656</v>
      </c>
      <c r="K324" s="22" t="str">
        <f t="shared" si="72"/>
        <v>span</v>
      </c>
      <c r="M324" s="23">
        <f t="shared" si="98"/>
        <v>-2265</v>
      </c>
      <c r="N324" s="23">
        <f t="shared" si="89"/>
        <v>-3.3550682063488506</v>
      </c>
      <c r="O324" t="s">
        <v>464</v>
      </c>
      <c r="P324">
        <v>2</v>
      </c>
      <c r="Q324" t="s">
        <v>578</v>
      </c>
      <c r="S324" t="s">
        <v>530</v>
      </c>
    </row>
    <row r="325" spans="1:19" x14ac:dyDescent="0.4">
      <c r="A325" t="s">
        <v>1417</v>
      </c>
      <c r="B325" s="24">
        <v>1875</v>
      </c>
      <c r="C325" s="24">
        <v>1</v>
      </c>
      <c r="D325" s="24">
        <v>1</v>
      </c>
      <c r="G325" s="20">
        <f t="shared" si="85"/>
        <v>56960366400</v>
      </c>
      <c r="H325" s="20">
        <v>48</v>
      </c>
      <c r="J325" t="s">
        <v>656</v>
      </c>
      <c r="K325" s="22" t="str">
        <f t="shared" si="72"/>
        <v>span</v>
      </c>
      <c r="M325" s="23">
        <f t="shared" si="98"/>
        <v>-2073</v>
      </c>
      <c r="N325" s="23">
        <f t="shared" si="89"/>
        <v>-3.3165993020938607</v>
      </c>
      <c r="O325" t="s">
        <v>462</v>
      </c>
      <c r="P325">
        <v>4</v>
      </c>
      <c r="Q325" t="s">
        <v>579</v>
      </c>
      <c r="S325" t="s">
        <v>530</v>
      </c>
    </row>
    <row r="326" spans="1:19" x14ac:dyDescent="0.4">
      <c r="A326" t="s">
        <v>1417</v>
      </c>
      <c r="B326" s="24">
        <v>1875</v>
      </c>
      <c r="C326" s="24">
        <v>1</v>
      </c>
      <c r="D326" s="24">
        <v>3</v>
      </c>
      <c r="G326" s="20">
        <f t="shared" si="85"/>
        <v>56960539200</v>
      </c>
      <c r="J326" t="s">
        <v>656</v>
      </c>
      <c r="K326" s="22" t="str">
        <f t="shared" si="72"/>
        <v>point</v>
      </c>
      <c r="M326" s="23">
        <f t="shared" si="98"/>
        <v>-2025</v>
      </c>
      <c r="N326" s="23">
        <f t="shared" si="89"/>
        <v>-3.3064250275506875</v>
      </c>
      <c r="O326" t="s">
        <v>464</v>
      </c>
      <c r="P326">
        <v>2</v>
      </c>
      <c r="Q326" t="s">
        <v>580</v>
      </c>
      <c r="S326" t="s">
        <v>530</v>
      </c>
    </row>
    <row r="327" spans="1:19" x14ac:dyDescent="0.4">
      <c r="A327" t="s">
        <v>1417</v>
      </c>
      <c r="B327" s="24">
        <v>1875</v>
      </c>
      <c r="C327" s="24">
        <v>1</v>
      </c>
      <c r="D327" s="24">
        <v>3</v>
      </c>
      <c r="E327" s="24">
        <v>4</v>
      </c>
      <c r="G327" s="20">
        <f t="shared" si="85"/>
        <v>56960510400</v>
      </c>
      <c r="J327" t="s">
        <v>656</v>
      </c>
      <c r="K327" s="22" t="str">
        <f t="shared" si="72"/>
        <v>point</v>
      </c>
      <c r="M327" s="23">
        <f t="shared" si="98"/>
        <v>-2033</v>
      </c>
      <c r="N327" s="23">
        <f t="shared" si="89"/>
        <v>-3.3081373786380386</v>
      </c>
      <c r="O327" t="s">
        <v>462</v>
      </c>
      <c r="P327">
        <v>5</v>
      </c>
      <c r="Q327" t="s">
        <v>667</v>
      </c>
      <c r="S327" t="s">
        <v>530</v>
      </c>
    </row>
    <row r="328" spans="1:19" x14ac:dyDescent="0.4">
      <c r="A328" t="s">
        <v>1417</v>
      </c>
      <c r="B328" s="24">
        <v>1875</v>
      </c>
      <c r="C328" s="24">
        <v>2</v>
      </c>
      <c r="D328" s="24">
        <v>16</v>
      </c>
      <c r="G328" s="20">
        <f t="shared" si="85"/>
        <v>56964340800</v>
      </c>
      <c r="J328" t="s">
        <v>656</v>
      </c>
      <c r="K328" s="22" t="str">
        <f t="shared" si="72"/>
        <v>point</v>
      </c>
      <c r="M328" s="23">
        <f t="shared" si="98"/>
        <v>-969</v>
      </c>
      <c r="N328" s="23">
        <f t="shared" si="89"/>
        <v>-2.9863237770507651</v>
      </c>
      <c r="O328" t="s">
        <v>462</v>
      </c>
      <c r="P328">
        <v>3</v>
      </c>
      <c r="Q328" t="s">
        <v>581</v>
      </c>
      <c r="S328" t="s">
        <v>530</v>
      </c>
    </row>
    <row r="329" spans="1:19" x14ac:dyDescent="0.4">
      <c r="A329" t="s">
        <v>1417</v>
      </c>
      <c r="B329" s="24">
        <v>1875</v>
      </c>
      <c r="C329" s="24">
        <v>2</v>
      </c>
      <c r="D329" s="24">
        <v>18</v>
      </c>
      <c r="G329" s="20">
        <f t="shared" si="85"/>
        <v>56964513600</v>
      </c>
      <c r="H329" s="20">
        <f>8*24</f>
        <v>192</v>
      </c>
      <c r="J329" t="s">
        <v>656</v>
      </c>
      <c r="K329" s="22" t="str">
        <f t="shared" si="72"/>
        <v>span</v>
      </c>
      <c r="M329" s="23">
        <f t="shared" si="98"/>
        <v>-921</v>
      </c>
      <c r="N329" s="23">
        <f t="shared" si="89"/>
        <v>-2.9642596301968491</v>
      </c>
      <c r="O329" t="s">
        <v>462</v>
      </c>
      <c r="P329">
        <v>3</v>
      </c>
      <c r="Q329" t="s">
        <v>582</v>
      </c>
      <c r="S329" t="s">
        <v>530</v>
      </c>
    </row>
    <row r="330" spans="1:19" x14ac:dyDescent="0.4">
      <c r="A330" t="s">
        <v>1417</v>
      </c>
      <c r="B330" s="24">
        <v>1875</v>
      </c>
      <c r="C330" s="24">
        <v>3</v>
      </c>
      <c r="D330" s="24">
        <v>10</v>
      </c>
      <c r="G330" s="20">
        <f t="shared" si="85"/>
        <v>56966241600</v>
      </c>
      <c r="J330" t="s">
        <v>656</v>
      </c>
      <c r="K330" s="22" t="str">
        <f t="shared" si="72"/>
        <v>point</v>
      </c>
      <c r="M330" s="23">
        <f t="shared" si="98"/>
        <v>-441</v>
      </c>
      <c r="N330" s="23">
        <f t="shared" si="89"/>
        <v>-2.6444385894678386</v>
      </c>
      <c r="O330" t="s">
        <v>462</v>
      </c>
      <c r="P330">
        <v>3</v>
      </c>
      <c r="Q330" t="s">
        <v>583</v>
      </c>
      <c r="S330" t="s">
        <v>530</v>
      </c>
    </row>
    <row r="331" spans="1:19" x14ac:dyDescent="0.4">
      <c r="A331" t="s">
        <v>1417</v>
      </c>
      <c r="B331" s="24">
        <v>1875</v>
      </c>
      <c r="C331" s="24">
        <v>3</v>
      </c>
      <c r="D331" s="24">
        <v>28</v>
      </c>
      <c r="E331" s="24">
        <v>21</v>
      </c>
      <c r="G331" s="20">
        <f t="shared" si="85"/>
        <v>56967829200</v>
      </c>
      <c r="H331" s="20">
        <v>15</v>
      </c>
      <c r="J331" t="s">
        <v>656</v>
      </c>
      <c r="K331" s="22" t="str">
        <f t="shared" si="72"/>
        <v>span</v>
      </c>
      <c r="L331" s="20" t="s">
        <v>670</v>
      </c>
      <c r="M331" s="23">
        <f t="shared" si="98"/>
        <v>0</v>
      </c>
      <c r="N331" s="23">
        <f t="shared" si="89"/>
        <v>0</v>
      </c>
      <c r="O331" t="s">
        <v>462</v>
      </c>
      <c r="P331">
        <v>4</v>
      </c>
      <c r="Q331" t="s">
        <v>584</v>
      </c>
      <c r="S331" t="s">
        <v>530</v>
      </c>
    </row>
    <row r="332" spans="1:19" x14ac:dyDescent="0.4">
      <c r="A332" t="s">
        <v>1417</v>
      </c>
      <c r="B332" s="24">
        <v>1875</v>
      </c>
      <c r="C332" s="24">
        <v>3</v>
      </c>
      <c r="D332" s="24">
        <v>29</v>
      </c>
      <c r="E332" s="24">
        <v>3</v>
      </c>
      <c r="F332" s="24">
        <v>30</v>
      </c>
      <c r="G332" s="20">
        <f t="shared" si="85"/>
        <v>56967852600</v>
      </c>
      <c r="J332" t="s">
        <v>656</v>
      </c>
      <c r="K332" s="22" t="str">
        <f t="shared" si="72"/>
        <v>point</v>
      </c>
      <c r="M332" s="23">
        <f t="shared" si="98"/>
        <v>6.5</v>
      </c>
      <c r="N332" s="23">
        <f t="shared" si="89"/>
        <v>0.81291335664285558</v>
      </c>
      <c r="O332" t="s">
        <v>462</v>
      </c>
      <c r="P332">
        <v>5</v>
      </c>
      <c r="Q332" t="s">
        <v>585</v>
      </c>
      <c r="S332" t="s">
        <v>530</v>
      </c>
    </row>
    <row r="333" spans="1:19" x14ac:dyDescent="0.4">
      <c r="A333" t="s">
        <v>1417</v>
      </c>
      <c r="B333" s="24">
        <v>1875</v>
      </c>
      <c r="C333" s="24">
        <v>3</v>
      </c>
      <c r="D333" s="24">
        <v>29</v>
      </c>
      <c r="E333" s="24">
        <v>6</v>
      </c>
      <c r="F333" s="24">
        <v>30</v>
      </c>
      <c r="G333" s="20">
        <f t="shared" si="85"/>
        <v>56967863400</v>
      </c>
      <c r="H333" s="20">
        <v>5</v>
      </c>
      <c r="J333" t="s">
        <v>656</v>
      </c>
      <c r="K333" s="22" t="str">
        <f t="shared" si="72"/>
        <v>span</v>
      </c>
      <c r="L333" s="20" t="s">
        <v>671</v>
      </c>
      <c r="M333" s="23">
        <f t="shared" si="98"/>
        <v>9.5</v>
      </c>
      <c r="N333" s="23">
        <f t="shared" si="89"/>
        <v>0.97772360528884772</v>
      </c>
      <c r="O333" t="s">
        <v>462</v>
      </c>
      <c r="P333">
        <v>6</v>
      </c>
      <c r="Q333" t="s">
        <v>586</v>
      </c>
      <c r="S333" t="s">
        <v>530</v>
      </c>
    </row>
    <row r="334" spans="1:19" x14ac:dyDescent="0.4">
      <c r="A334" t="s">
        <v>1417</v>
      </c>
      <c r="B334" s="24">
        <v>1875</v>
      </c>
      <c r="C334" s="24">
        <v>4</v>
      </c>
      <c r="D334" s="24">
        <v>1</v>
      </c>
      <c r="G334" s="20">
        <f t="shared" si="85"/>
        <v>56968142400</v>
      </c>
      <c r="H334" s="20">
        <f>30*24</f>
        <v>720</v>
      </c>
      <c r="J334" t="s">
        <v>656</v>
      </c>
      <c r="K334" s="22" t="str">
        <f t="shared" si="72"/>
        <v>span</v>
      </c>
      <c r="M334" s="23">
        <f t="shared" si="98"/>
        <v>87</v>
      </c>
      <c r="N334" s="23">
        <f t="shared" si="89"/>
        <v>1.9395192526186185</v>
      </c>
      <c r="O334" t="s">
        <v>462</v>
      </c>
      <c r="P334">
        <v>4</v>
      </c>
      <c r="Q334" t="s">
        <v>587</v>
      </c>
      <c r="S334" t="s">
        <v>530</v>
      </c>
    </row>
    <row r="335" spans="1:19" x14ac:dyDescent="0.4">
      <c r="A335" t="s">
        <v>1417</v>
      </c>
      <c r="B335" s="24">
        <v>1875</v>
      </c>
      <c r="C335" s="24">
        <v>4</v>
      </c>
      <c r="D335" s="24">
        <v>4</v>
      </c>
      <c r="G335" s="20">
        <f t="shared" si="85"/>
        <v>56968401600</v>
      </c>
      <c r="H335" s="20">
        <f>7*24</f>
        <v>168</v>
      </c>
      <c r="J335" t="s">
        <v>656</v>
      </c>
      <c r="K335" s="22" t="str">
        <f t="shared" si="72"/>
        <v>span</v>
      </c>
      <c r="M335" s="23">
        <f t="shared" si="98"/>
        <v>159</v>
      </c>
      <c r="N335" s="23">
        <f t="shared" si="89"/>
        <v>2.2013971243204513</v>
      </c>
      <c r="O335" t="s">
        <v>462</v>
      </c>
      <c r="P335">
        <v>3</v>
      </c>
      <c r="Q335" t="s">
        <v>588</v>
      </c>
      <c r="S335" t="s">
        <v>530</v>
      </c>
    </row>
    <row r="336" spans="1:19" x14ac:dyDescent="0.4">
      <c r="A336" t="s">
        <v>1417</v>
      </c>
      <c r="B336" s="24">
        <v>1875</v>
      </c>
      <c r="C336" s="24">
        <v>7</v>
      </c>
      <c r="D336" s="24">
        <v>1</v>
      </c>
      <c r="G336" s="20">
        <f t="shared" si="85"/>
        <v>56976004800</v>
      </c>
      <c r="J336" t="s">
        <v>656</v>
      </c>
      <c r="K336" s="22" t="str">
        <f t="shared" si="72"/>
        <v>point</v>
      </c>
      <c r="M336" s="23">
        <f t="shared" si="98"/>
        <v>2271</v>
      </c>
      <c r="N336" s="23">
        <f t="shared" si="89"/>
        <v>3.3562171342197353</v>
      </c>
      <c r="O336" t="s">
        <v>462</v>
      </c>
      <c r="P336">
        <v>4</v>
      </c>
      <c r="Q336" t="s">
        <v>589</v>
      </c>
      <c r="S336" t="s">
        <v>530</v>
      </c>
    </row>
    <row r="337" spans="1:19" x14ac:dyDescent="0.4">
      <c r="A337" t="s">
        <v>1417</v>
      </c>
      <c r="B337" s="24">
        <v>1875</v>
      </c>
      <c r="C337" s="24">
        <v>7</v>
      </c>
      <c r="D337" s="24">
        <v>7</v>
      </c>
      <c r="G337" s="20">
        <f t="shared" si="85"/>
        <v>56976523200</v>
      </c>
      <c r="J337" t="s">
        <v>656</v>
      </c>
      <c r="K337" s="22" t="str">
        <f t="shared" si="72"/>
        <v>point</v>
      </c>
      <c r="M337" s="23">
        <f t="shared" si="98"/>
        <v>2415</v>
      </c>
      <c r="N337" s="23">
        <f t="shared" si="89"/>
        <v>3.3829171350875309</v>
      </c>
      <c r="O337" t="s">
        <v>462</v>
      </c>
      <c r="P337">
        <v>4</v>
      </c>
      <c r="Q337" t="s">
        <v>589</v>
      </c>
      <c r="S337" t="s">
        <v>530</v>
      </c>
    </row>
    <row r="338" spans="1:19" x14ac:dyDescent="0.4">
      <c r="A338" t="s">
        <v>1417</v>
      </c>
      <c r="B338" s="24">
        <v>1875</v>
      </c>
      <c r="C338" s="24">
        <v>8</v>
      </c>
      <c r="D338" s="24">
        <v>15</v>
      </c>
      <c r="G338" s="20">
        <f t="shared" si="85"/>
        <v>56979892800</v>
      </c>
      <c r="J338" t="s">
        <v>656</v>
      </c>
      <c r="K338" s="22" t="str">
        <f t="shared" si="72"/>
        <v>point</v>
      </c>
      <c r="M338" s="23">
        <f t="shared" si="98"/>
        <v>3351</v>
      </c>
      <c r="N338" s="23">
        <f t="shared" si="89"/>
        <v>3.5251744278352715</v>
      </c>
      <c r="O338" t="s">
        <v>464</v>
      </c>
      <c r="P338">
        <v>2</v>
      </c>
      <c r="Q338" t="s">
        <v>590</v>
      </c>
      <c r="S338" t="s">
        <v>530</v>
      </c>
    </row>
    <row r="339" spans="1:19" x14ac:dyDescent="0.4">
      <c r="A339" t="s">
        <v>1417</v>
      </c>
      <c r="B339" s="24">
        <v>1875</v>
      </c>
      <c r="C339" s="24">
        <v>8</v>
      </c>
      <c r="D339" s="24">
        <v>15</v>
      </c>
      <c r="G339" s="20">
        <f t="shared" si="85"/>
        <v>56979892800</v>
      </c>
      <c r="J339" t="s">
        <v>656</v>
      </c>
      <c r="K339" s="22" t="str">
        <f t="shared" si="72"/>
        <v>point</v>
      </c>
      <c r="M339" s="23">
        <f>(G339-56967829200)/3600</f>
        <v>3351</v>
      </c>
      <c r="N339" s="23">
        <f t="shared" si="89"/>
        <v>3.5251744278352715</v>
      </c>
      <c r="O339" t="s">
        <v>462</v>
      </c>
      <c r="P339">
        <v>3</v>
      </c>
      <c r="Q339" t="s">
        <v>591</v>
      </c>
      <c r="S339" t="s">
        <v>530</v>
      </c>
    </row>
    <row r="340" spans="1:19" x14ac:dyDescent="0.4">
      <c r="A340" t="s">
        <v>1417</v>
      </c>
      <c r="B340" s="24">
        <v>1919</v>
      </c>
      <c r="G340" s="20">
        <f t="shared" si="85"/>
        <v>-1593820800</v>
      </c>
      <c r="J340" t="s">
        <v>656</v>
      </c>
      <c r="K340" s="22" t="str">
        <f t="shared" ref="K340:K347" si="99">IF(H340="",IF(I340="","point","middle"),"span")</f>
        <v>point</v>
      </c>
      <c r="M340" s="23">
        <f t="shared" ref="M340:M347" si="100">(G340-56967829200)/3600</f>
        <v>-16267125</v>
      </c>
      <c r="N340" s="23">
        <f t="shared" si="89"/>
        <v>-7.2113108038916547</v>
      </c>
      <c r="O340" t="s">
        <v>462</v>
      </c>
      <c r="P340">
        <v>4</v>
      </c>
      <c r="Q340" t="s">
        <v>1042</v>
      </c>
      <c r="S340" t="s">
        <v>867</v>
      </c>
    </row>
    <row r="341" spans="1:19" x14ac:dyDescent="0.4">
      <c r="A341" t="s">
        <v>1417</v>
      </c>
      <c r="B341" s="24">
        <v>1921</v>
      </c>
      <c r="C341" s="24">
        <v>3</v>
      </c>
      <c r="G341" s="20">
        <f t="shared" si="85"/>
        <v>-1539907200</v>
      </c>
      <c r="J341" t="s">
        <v>656</v>
      </c>
      <c r="K341" s="22" t="str">
        <f t="shared" si="99"/>
        <v>point</v>
      </c>
      <c r="M341" s="23">
        <f t="shared" si="100"/>
        <v>-16252149</v>
      </c>
      <c r="N341" s="23">
        <f t="shared" si="89"/>
        <v>-7.2109107952923983</v>
      </c>
      <c r="O341" t="s">
        <v>462</v>
      </c>
      <c r="P341">
        <v>3</v>
      </c>
      <c r="Q341" t="s">
        <v>1043</v>
      </c>
      <c r="S341" t="s">
        <v>867</v>
      </c>
    </row>
    <row r="342" spans="1:19" x14ac:dyDescent="0.4">
      <c r="A342" t="s">
        <v>1417</v>
      </c>
      <c r="B342" s="24">
        <v>1922</v>
      </c>
      <c r="C342" s="24">
        <v>11</v>
      </c>
      <c r="G342" s="20">
        <f t="shared" si="85"/>
        <v>-1487203200</v>
      </c>
      <c r="J342" t="s">
        <v>656</v>
      </c>
      <c r="K342" s="22" t="str">
        <f t="shared" si="99"/>
        <v>point</v>
      </c>
      <c r="M342" s="23">
        <f t="shared" si="100"/>
        <v>-16237509</v>
      </c>
      <c r="N342" s="23">
        <f t="shared" si="89"/>
        <v>-7.2105194047985135</v>
      </c>
      <c r="O342" t="s">
        <v>462</v>
      </c>
      <c r="P342">
        <v>3</v>
      </c>
      <c r="Q342" t="s">
        <v>1044</v>
      </c>
      <c r="S342" t="s">
        <v>867</v>
      </c>
    </row>
    <row r="343" spans="1:19" x14ac:dyDescent="0.4">
      <c r="A343" t="s">
        <v>1417</v>
      </c>
      <c r="B343" s="24">
        <v>1923</v>
      </c>
      <c r="C343" s="24">
        <v>1</v>
      </c>
      <c r="D343" s="24">
        <v>15</v>
      </c>
      <c r="G343" s="20">
        <f t="shared" si="85"/>
        <v>-1481976000</v>
      </c>
      <c r="J343" t="s">
        <v>656</v>
      </c>
      <c r="K343" s="22" t="str">
        <f t="shared" si="99"/>
        <v>point</v>
      </c>
      <c r="M343" s="23">
        <f t="shared" si="100"/>
        <v>-16236057</v>
      </c>
      <c r="N343" s="23">
        <f t="shared" si="89"/>
        <v>-7.2104805673275596</v>
      </c>
      <c r="O343" t="s">
        <v>462</v>
      </c>
      <c r="P343">
        <v>3</v>
      </c>
      <c r="Q343" t="s">
        <v>1045</v>
      </c>
      <c r="S343" t="s">
        <v>867</v>
      </c>
    </row>
    <row r="344" spans="1:19" x14ac:dyDescent="0.4">
      <c r="A344" t="s">
        <v>1417</v>
      </c>
      <c r="B344" s="24">
        <v>1924</v>
      </c>
      <c r="G344" s="20">
        <f t="shared" si="85"/>
        <v>-1435968000</v>
      </c>
      <c r="J344" t="s">
        <v>656</v>
      </c>
      <c r="K344" s="22" t="str">
        <f t="shared" si="99"/>
        <v>point</v>
      </c>
      <c r="M344" s="23">
        <f t="shared" si="100"/>
        <v>-16223277</v>
      </c>
      <c r="N344" s="23">
        <f t="shared" si="89"/>
        <v>-7.2101385834923075</v>
      </c>
      <c r="O344" t="s">
        <v>462</v>
      </c>
      <c r="P344">
        <v>3</v>
      </c>
      <c r="Q344" t="s">
        <v>1046</v>
      </c>
      <c r="S344" t="s">
        <v>867</v>
      </c>
    </row>
    <row r="345" spans="1:19" x14ac:dyDescent="0.4">
      <c r="A345" t="s">
        <v>1417</v>
      </c>
      <c r="B345" s="24">
        <v>1926</v>
      </c>
      <c r="C345" s="24">
        <v>7</v>
      </c>
      <c r="D345" s="24">
        <v>15</v>
      </c>
      <c r="G345" s="20">
        <f t="shared" si="85"/>
        <v>-1371643200</v>
      </c>
      <c r="J345" t="s">
        <v>656</v>
      </c>
      <c r="K345" s="22" t="str">
        <f t="shared" si="99"/>
        <v>point</v>
      </c>
      <c r="M345" s="23">
        <f t="shared" si="100"/>
        <v>-16205409</v>
      </c>
      <c r="N345" s="23">
        <f t="shared" si="89"/>
        <v>-7.2096599964420678</v>
      </c>
      <c r="O345" t="s">
        <v>462</v>
      </c>
      <c r="P345">
        <v>4</v>
      </c>
      <c r="Q345" t="s">
        <v>1047</v>
      </c>
      <c r="S345" t="s">
        <v>867</v>
      </c>
    </row>
    <row r="346" spans="1:19" x14ac:dyDescent="0.4">
      <c r="A346" t="s">
        <v>1417</v>
      </c>
      <c r="B346" s="24">
        <v>1938</v>
      </c>
      <c r="C346" s="24">
        <v>12</v>
      </c>
      <c r="D346" s="24">
        <v>19</v>
      </c>
      <c r="G346" s="20">
        <f t="shared" si="85"/>
        <v>-979387200</v>
      </c>
      <c r="J346" t="s">
        <v>656</v>
      </c>
      <c r="K346" s="22" t="str">
        <f t="shared" si="99"/>
        <v>point</v>
      </c>
      <c r="M346" s="23">
        <f t="shared" si="100"/>
        <v>-16096449</v>
      </c>
      <c r="N346" s="23">
        <f t="shared" si="89"/>
        <v>-7.2067300779075598</v>
      </c>
      <c r="O346" t="s">
        <v>462</v>
      </c>
      <c r="P346">
        <v>4</v>
      </c>
      <c r="Q346" t="s">
        <v>1047</v>
      </c>
      <c r="S346" t="s">
        <v>867</v>
      </c>
    </row>
    <row r="347" spans="1:19" x14ac:dyDescent="0.4">
      <c r="A347" t="s">
        <v>1417</v>
      </c>
      <c r="B347" s="24">
        <v>1961</v>
      </c>
      <c r="C347" s="24">
        <v>10</v>
      </c>
      <c r="D347" s="24">
        <v>26</v>
      </c>
      <c r="G347" s="20">
        <f t="shared" si="85"/>
        <v>-258206400</v>
      </c>
      <c r="J347" t="s">
        <v>656</v>
      </c>
      <c r="K347" s="22" t="str">
        <f t="shared" si="99"/>
        <v>point</v>
      </c>
      <c r="M347" s="23">
        <f t="shared" si="100"/>
        <v>-15896121</v>
      </c>
      <c r="N347" s="23">
        <f t="shared" si="89"/>
        <v>-7.2012911599291565</v>
      </c>
      <c r="O347" t="s">
        <v>462</v>
      </c>
      <c r="P347">
        <v>4</v>
      </c>
      <c r="Q347" t="s">
        <v>1048</v>
      </c>
      <c r="S347" t="s">
        <v>867</v>
      </c>
    </row>
    <row r="348" spans="1:19" x14ac:dyDescent="0.4">
      <c r="A348" t="s">
        <v>1475</v>
      </c>
      <c r="B348" s="24">
        <v>1816</v>
      </c>
      <c r="C348" s="24">
        <v>5</v>
      </c>
      <c r="G348" s="20">
        <f t="shared" si="85"/>
        <v>55110153600</v>
      </c>
      <c r="H348" s="20">
        <v>744</v>
      </c>
      <c r="J348" t="s">
        <v>656</v>
      </c>
      <c r="K348" s="22" t="str">
        <f t="shared" ref="K348:K369" si="101">IF(H348="",IF(I348="","point","middle"),"span")</f>
        <v>span</v>
      </c>
      <c r="M348" s="23">
        <f t="shared" ref="M348:M411" si="102">(G348-1306004400)/3600</f>
        <v>14945597</v>
      </c>
      <c r="N348" s="23">
        <f t="shared" ref="N348:N369" si="103">IF(M348=0,0, IF(M348&gt;0,LOG10(M348), -LOG10(-1*M348)))</f>
        <v>7.1745132675604646</v>
      </c>
      <c r="O348" t="s">
        <v>462</v>
      </c>
      <c r="P348">
        <v>4</v>
      </c>
      <c r="S348" t="s">
        <v>867</v>
      </c>
    </row>
    <row r="349" spans="1:19" x14ac:dyDescent="0.4">
      <c r="A349" t="s">
        <v>1475</v>
      </c>
      <c r="B349" s="24">
        <v>1838</v>
      </c>
      <c r="C349" s="24">
        <v>6</v>
      </c>
      <c r="G349" s="20">
        <f t="shared" si="85"/>
        <v>55807056000</v>
      </c>
      <c r="J349" t="s">
        <v>656</v>
      </c>
      <c r="K349" s="22" t="str">
        <f t="shared" si="101"/>
        <v>point</v>
      </c>
      <c r="M349" s="23">
        <f t="shared" si="102"/>
        <v>15139181</v>
      </c>
      <c r="N349" s="23">
        <f t="shared" si="103"/>
        <v>7.1801023813198341</v>
      </c>
      <c r="O349" t="s">
        <v>462</v>
      </c>
      <c r="P349">
        <v>4</v>
      </c>
      <c r="S349" t="s">
        <v>867</v>
      </c>
    </row>
    <row r="350" spans="1:19" x14ac:dyDescent="0.4">
      <c r="A350" t="s">
        <v>1475</v>
      </c>
      <c r="B350" s="24">
        <v>1854</v>
      </c>
      <c r="G350" s="20">
        <f t="shared" si="85"/>
        <v>56313273600</v>
      </c>
      <c r="J350" t="s">
        <v>656</v>
      </c>
      <c r="K350" s="22" t="str">
        <f t="shared" si="101"/>
        <v>point</v>
      </c>
      <c r="M350" s="23">
        <f t="shared" si="102"/>
        <v>15279797</v>
      </c>
      <c r="N350" s="23">
        <f t="shared" si="103"/>
        <v>7.1841175844513554</v>
      </c>
      <c r="O350" t="s">
        <v>462</v>
      </c>
      <c r="P350">
        <v>4</v>
      </c>
      <c r="S350" t="s">
        <v>867</v>
      </c>
    </row>
    <row r="351" spans="1:19" x14ac:dyDescent="0.4">
      <c r="A351" t="s">
        <v>1475</v>
      </c>
      <c r="B351" s="24">
        <v>1861</v>
      </c>
      <c r="C351" s="24">
        <v>5</v>
      </c>
      <c r="G351" s="20">
        <f t="shared" si="85"/>
        <v>56530224000</v>
      </c>
      <c r="J351" t="s">
        <v>656</v>
      </c>
      <c r="K351" s="22" t="str">
        <f t="shared" si="101"/>
        <v>point</v>
      </c>
      <c r="M351" s="23">
        <f t="shared" si="102"/>
        <v>15340061</v>
      </c>
      <c r="N351" s="23">
        <f t="shared" si="103"/>
        <v>7.1858270865954079</v>
      </c>
      <c r="O351" t="s">
        <v>462</v>
      </c>
      <c r="P351">
        <v>4</v>
      </c>
      <c r="S351" t="s">
        <v>867</v>
      </c>
    </row>
    <row r="352" spans="1:19" x14ac:dyDescent="0.4">
      <c r="A352" t="s">
        <v>1475</v>
      </c>
      <c r="B352" s="24">
        <v>1867</v>
      </c>
      <c r="C352" s="24">
        <v>8</v>
      </c>
      <c r="D352" s="24">
        <v>29</v>
      </c>
      <c r="G352" s="20">
        <f t="shared" si="85"/>
        <v>56728641600</v>
      </c>
      <c r="J352" t="s">
        <v>656</v>
      </c>
      <c r="K352" s="22" t="str">
        <f t="shared" si="101"/>
        <v>point</v>
      </c>
      <c r="M352" s="23">
        <f t="shared" si="102"/>
        <v>15395177</v>
      </c>
      <c r="N352" s="23">
        <f t="shared" si="103"/>
        <v>7.1873846863981257</v>
      </c>
      <c r="O352" t="s">
        <v>462</v>
      </c>
      <c r="P352">
        <v>3</v>
      </c>
      <c r="S352" t="s">
        <v>867</v>
      </c>
    </row>
    <row r="353" spans="1:19" x14ac:dyDescent="0.4">
      <c r="A353" t="s">
        <v>1475</v>
      </c>
      <c r="B353" s="24">
        <v>1873</v>
      </c>
      <c r="C353" s="24">
        <v>1</v>
      </c>
      <c r="D353" s="24">
        <v>8</v>
      </c>
      <c r="G353" s="20">
        <f t="shared" si="85"/>
        <v>56897899200</v>
      </c>
      <c r="H353" s="20">
        <v>5040</v>
      </c>
      <c r="J353" t="s">
        <v>656</v>
      </c>
      <c r="K353" s="22" t="str">
        <f t="shared" si="101"/>
        <v>span</v>
      </c>
      <c r="M353" s="23">
        <f t="shared" si="102"/>
        <v>15442193</v>
      </c>
      <c r="N353" s="23">
        <f t="shared" si="103"/>
        <v>7.1887089760624265</v>
      </c>
      <c r="O353" t="s">
        <v>462</v>
      </c>
      <c r="P353">
        <v>5</v>
      </c>
      <c r="S353" t="s">
        <v>867</v>
      </c>
    </row>
    <row r="354" spans="1:19" x14ac:dyDescent="0.4">
      <c r="A354" t="s">
        <v>1475</v>
      </c>
      <c r="B354" s="24">
        <v>1883</v>
      </c>
      <c r="C354" s="24">
        <v>1</v>
      </c>
      <c r="D354" s="24">
        <v>15</v>
      </c>
      <c r="G354" s="20">
        <f t="shared" si="85"/>
        <v>57214036800</v>
      </c>
      <c r="H354" s="20">
        <v>2160</v>
      </c>
      <c r="J354" t="s">
        <v>656</v>
      </c>
      <c r="K354" s="22" t="str">
        <f t="shared" si="101"/>
        <v>span</v>
      </c>
      <c r="M354" s="23">
        <f t="shared" si="102"/>
        <v>15530009</v>
      </c>
      <c r="N354" s="23">
        <f t="shared" si="103"/>
        <v>7.1911717074123453</v>
      </c>
      <c r="O354" t="s">
        <v>462</v>
      </c>
      <c r="P354">
        <v>4</v>
      </c>
      <c r="S354" t="s">
        <v>867</v>
      </c>
    </row>
    <row r="355" spans="1:19" x14ac:dyDescent="0.4">
      <c r="A355" t="s">
        <v>1475</v>
      </c>
      <c r="B355" s="24">
        <v>1891</v>
      </c>
      <c r="C355" s="24">
        <v>11</v>
      </c>
      <c r="G355" s="20">
        <f t="shared" si="85"/>
        <v>57492806400</v>
      </c>
      <c r="H355" s="20">
        <v>2880</v>
      </c>
      <c r="J355" t="s">
        <v>656</v>
      </c>
      <c r="K355" s="22" t="str">
        <f t="shared" si="101"/>
        <v>span</v>
      </c>
      <c r="M355" s="23">
        <f t="shared" si="102"/>
        <v>15607445</v>
      </c>
      <c r="N355" s="23">
        <f t="shared" si="103"/>
        <v>7.1933318131699719</v>
      </c>
      <c r="O355" t="s">
        <v>462</v>
      </c>
      <c r="P355">
        <v>4</v>
      </c>
      <c r="S355" t="s">
        <v>867</v>
      </c>
    </row>
    <row r="356" spans="1:19" x14ac:dyDescent="0.4">
      <c r="A356" t="s">
        <v>1475</v>
      </c>
      <c r="B356" s="24">
        <v>1897</v>
      </c>
      <c r="G356" s="20">
        <f t="shared" si="85"/>
        <v>57670272000</v>
      </c>
      <c r="J356" t="s">
        <v>656</v>
      </c>
      <c r="K356" s="22" t="str">
        <f t="shared" si="101"/>
        <v>point</v>
      </c>
      <c r="M356" s="23">
        <f t="shared" si="102"/>
        <v>15656741</v>
      </c>
      <c r="N356" s="23">
        <f t="shared" si="103"/>
        <v>7.1947013673635132</v>
      </c>
      <c r="O356" t="s">
        <v>462</v>
      </c>
      <c r="P356">
        <v>4</v>
      </c>
      <c r="S356" t="s">
        <v>867</v>
      </c>
    </row>
    <row r="357" spans="1:19" x14ac:dyDescent="0.4">
      <c r="A357" t="s">
        <v>1475</v>
      </c>
      <c r="B357" s="24">
        <v>1910</v>
      </c>
      <c r="G357" s="20">
        <f t="shared" si="85"/>
        <v>-1877817600</v>
      </c>
      <c r="J357" t="s">
        <v>656</v>
      </c>
      <c r="K357" s="22" t="str">
        <f t="shared" si="101"/>
        <v>point</v>
      </c>
      <c r="M357" s="23">
        <f t="shared" si="102"/>
        <v>-884395</v>
      </c>
      <c r="N357" s="23">
        <f t="shared" si="103"/>
        <v>-5.9466462785939811</v>
      </c>
      <c r="O357" t="s">
        <v>462</v>
      </c>
      <c r="P357">
        <v>4</v>
      </c>
      <c r="S357" t="s">
        <v>867</v>
      </c>
    </row>
    <row r="358" spans="1:19" x14ac:dyDescent="0.4">
      <c r="A358" t="s">
        <v>1475</v>
      </c>
      <c r="B358" s="24">
        <v>1919</v>
      </c>
      <c r="G358" s="20">
        <f t="shared" si="85"/>
        <v>-1593820800</v>
      </c>
      <c r="J358" t="s">
        <v>656</v>
      </c>
      <c r="K358" s="22" t="str">
        <f t="shared" si="101"/>
        <v>point</v>
      </c>
      <c r="M358" s="23">
        <f t="shared" si="102"/>
        <v>-805507</v>
      </c>
      <c r="N358" s="23">
        <f t="shared" si="103"/>
        <v>-5.9060693188684139</v>
      </c>
      <c r="O358" t="s">
        <v>462</v>
      </c>
      <c r="P358">
        <v>4</v>
      </c>
      <c r="S358" t="s">
        <v>867</v>
      </c>
    </row>
    <row r="359" spans="1:19" x14ac:dyDescent="0.4">
      <c r="A359" t="s">
        <v>1475</v>
      </c>
      <c r="B359" s="24">
        <v>1922</v>
      </c>
      <c r="C359" s="24">
        <v>9</v>
      </c>
      <c r="D359" s="24">
        <v>29</v>
      </c>
      <c r="G359" s="20">
        <f t="shared" si="85"/>
        <v>-1491307200</v>
      </c>
      <c r="H359" s="20">
        <v>576</v>
      </c>
      <c r="J359" t="s">
        <v>656</v>
      </c>
      <c r="K359" s="22" t="str">
        <f t="shared" si="101"/>
        <v>span</v>
      </c>
      <c r="M359" s="23">
        <f t="shared" si="102"/>
        <v>-777031</v>
      </c>
      <c r="N359" s="23">
        <f t="shared" si="103"/>
        <v>-5.8904383455195459</v>
      </c>
      <c r="O359" t="s">
        <v>462</v>
      </c>
      <c r="P359">
        <v>4</v>
      </c>
      <c r="S359" t="s">
        <v>867</v>
      </c>
    </row>
    <row r="360" spans="1:19" x14ac:dyDescent="0.4">
      <c r="A360" t="s">
        <v>1475</v>
      </c>
      <c r="B360" s="24">
        <v>1933</v>
      </c>
      <c r="C360" s="24">
        <v>11</v>
      </c>
      <c r="D360" s="24">
        <v>29</v>
      </c>
      <c r="G360" s="20">
        <f t="shared" si="85"/>
        <v>-1138881600</v>
      </c>
      <c r="H360" s="20">
        <v>240</v>
      </c>
      <c r="J360" t="s">
        <v>656</v>
      </c>
      <c r="K360" s="22" t="str">
        <f t="shared" si="101"/>
        <v>span</v>
      </c>
      <c r="M360" s="23">
        <f t="shared" si="102"/>
        <v>-679135</v>
      </c>
      <c r="N360" s="23">
        <f t="shared" si="103"/>
        <v>-5.831956112907001</v>
      </c>
      <c r="O360" t="s">
        <v>462</v>
      </c>
      <c r="P360">
        <v>3</v>
      </c>
      <c r="S360" t="s">
        <v>867</v>
      </c>
    </row>
    <row r="361" spans="1:19" x14ac:dyDescent="0.4">
      <c r="A361" t="s">
        <v>1475</v>
      </c>
      <c r="B361" s="24">
        <v>1934</v>
      </c>
      <c r="C361" s="24">
        <v>3</v>
      </c>
      <c r="D361" s="24">
        <v>30</v>
      </c>
      <c r="G361" s="20">
        <f t="shared" si="85"/>
        <v>-1128427200</v>
      </c>
      <c r="H361" s="20">
        <v>192</v>
      </c>
      <c r="J361" t="s">
        <v>656</v>
      </c>
      <c r="K361" s="22" t="str">
        <f t="shared" si="101"/>
        <v>span</v>
      </c>
      <c r="M361" s="23">
        <f t="shared" si="102"/>
        <v>-676231</v>
      </c>
      <c r="N361" s="23">
        <f t="shared" si="103"/>
        <v>-5.830095075954068</v>
      </c>
      <c r="O361" t="s">
        <v>462</v>
      </c>
      <c r="P361">
        <v>4</v>
      </c>
      <c r="S361" t="s">
        <v>867</v>
      </c>
    </row>
    <row r="362" spans="1:19" x14ac:dyDescent="0.4">
      <c r="A362" t="s">
        <v>1475</v>
      </c>
      <c r="B362" s="24">
        <v>1934</v>
      </c>
      <c r="C362" s="24">
        <v>12</v>
      </c>
      <c r="D362" s="24">
        <v>21</v>
      </c>
      <c r="G362" s="20">
        <f t="shared" si="85"/>
        <v>-1105444800</v>
      </c>
      <c r="H362" s="20">
        <v>120</v>
      </c>
      <c r="J362" t="s">
        <v>656</v>
      </c>
      <c r="K362" s="22" t="str">
        <f t="shared" si="101"/>
        <v>span</v>
      </c>
      <c r="M362" s="23">
        <f t="shared" si="102"/>
        <v>-669847</v>
      </c>
      <c r="N362" s="23">
        <f t="shared" si="103"/>
        <v>-5.8259756166653762</v>
      </c>
      <c r="O362" t="s">
        <v>462</v>
      </c>
      <c r="P362">
        <v>3</v>
      </c>
      <c r="S362" t="s">
        <v>867</v>
      </c>
    </row>
    <row r="363" spans="1:19" x14ac:dyDescent="0.4">
      <c r="A363" t="s">
        <v>1475</v>
      </c>
      <c r="B363" s="24">
        <v>1938</v>
      </c>
      <c r="C363" s="24">
        <v>5</v>
      </c>
      <c r="G363" s="20">
        <f t="shared" si="85"/>
        <v>-998179200</v>
      </c>
      <c r="J363" t="s">
        <v>656</v>
      </c>
      <c r="K363" s="22" t="str">
        <f t="shared" si="101"/>
        <v>point</v>
      </c>
      <c r="M363" s="23">
        <f t="shared" si="102"/>
        <v>-640051</v>
      </c>
      <c r="N363" s="23">
        <f t="shared" si="103"/>
        <v>-5.8062145804465812</v>
      </c>
      <c r="O363" t="s">
        <v>462</v>
      </c>
      <c r="P363">
        <v>3</v>
      </c>
      <c r="S363" t="s">
        <v>867</v>
      </c>
    </row>
    <row r="364" spans="1:19" x14ac:dyDescent="0.4">
      <c r="A364" t="s">
        <v>1475</v>
      </c>
      <c r="B364" s="24">
        <v>1939</v>
      </c>
      <c r="C364" s="24">
        <v>6</v>
      </c>
      <c r="G364" s="20">
        <f t="shared" si="85"/>
        <v>-963964800</v>
      </c>
      <c r="J364" t="s">
        <v>656</v>
      </c>
      <c r="K364" s="22" t="str">
        <f t="shared" si="101"/>
        <v>point</v>
      </c>
      <c r="M364" s="23">
        <f t="shared" si="102"/>
        <v>-630547</v>
      </c>
      <c r="N364" s="23">
        <f t="shared" si="103"/>
        <v>-5.7997174637558837</v>
      </c>
      <c r="O364" t="s">
        <v>462</v>
      </c>
      <c r="P364">
        <v>3</v>
      </c>
      <c r="S364" t="s">
        <v>867</v>
      </c>
    </row>
    <row r="365" spans="1:19" x14ac:dyDescent="0.4">
      <c r="A365" t="s">
        <v>1475</v>
      </c>
      <c r="B365" s="24">
        <v>1941</v>
      </c>
      <c r="C365" s="24">
        <v>4</v>
      </c>
      <c r="G365" s="20">
        <f t="shared" si="85"/>
        <v>-906076800</v>
      </c>
      <c r="H365" s="20">
        <v>2880</v>
      </c>
      <c r="J365" t="s">
        <v>656</v>
      </c>
      <c r="K365" s="22" t="str">
        <f t="shared" si="101"/>
        <v>span</v>
      </c>
      <c r="M365" s="23">
        <f t="shared" si="102"/>
        <v>-614467</v>
      </c>
      <c r="N365" s="23">
        <f t="shared" si="103"/>
        <v>-5.7884985640284308</v>
      </c>
      <c r="O365" t="s">
        <v>462</v>
      </c>
      <c r="P365">
        <v>3</v>
      </c>
      <c r="S365" t="s">
        <v>867</v>
      </c>
    </row>
    <row r="366" spans="1:19" x14ac:dyDescent="0.4">
      <c r="A366" t="s">
        <v>1475</v>
      </c>
      <c r="B366" s="24">
        <v>1945</v>
      </c>
      <c r="C366" s="24">
        <v>9</v>
      </c>
      <c r="D366" s="24">
        <v>25</v>
      </c>
      <c r="G366" s="20">
        <f t="shared" si="85"/>
        <v>-765806400</v>
      </c>
      <c r="J366" t="s">
        <v>656</v>
      </c>
      <c r="K366" s="22" t="str">
        <f t="shared" si="101"/>
        <v>point</v>
      </c>
      <c r="M366" s="23">
        <f t="shared" si="102"/>
        <v>-575503</v>
      </c>
      <c r="N366" s="23">
        <f t="shared" si="103"/>
        <v>-5.7600475918755407</v>
      </c>
      <c r="O366" t="s">
        <v>462</v>
      </c>
      <c r="P366">
        <v>3</v>
      </c>
      <c r="S366" t="s">
        <v>867</v>
      </c>
    </row>
    <row r="367" spans="1:19" x14ac:dyDescent="0.4">
      <c r="A367" t="s">
        <v>1475</v>
      </c>
      <c r="B367" s="24">
        <v>1948</v>
      </c>
      <c r="C367" s="24">
        <v>2</v>
      </c>
      <c r="G367" s="20">
        <f t="shared" si="85"/>
        <v>-690336000</v>
      </c>
      <c r="J367" t="s">
        <v>656</v>
      </c>
      <c r="K367" s="22" t="str">
        <f t="shared" si="101"/>
        <v>point</v>
      </c>
      <c r="M367" s="23">
        <f t="shared" si="102"/>
        <v>-554539</v>
      </c>
      <c r="N367" s="23">
        <f t="shared" si="103"/>
        <v>-5.7439320949201376</v>
      </c>
      <c r="O367" t="s">
        <v>462</v>
      </c>
      <c r="P367">
        <v>3</v>
      </c>
      <c r="S367" t="s">
        <v>867</v>
      </c>
    </row>
    <row r="368" spans="1:19" x14ac:dyDescent="0.4">
      <c r="A368" t="s">
        <v>1475</v>
      </c>
      <c r="B368" s="24">
        <v>1954</v>
      </c>
      <c r="C368" s="24">
        <v>1</v>
      </c>
      <c r="D368" s="24">
        <v>15</v>
      </c>
      <c r="G368" s="20">
        <f t="shared" si="85"/>
        <v>-503668800</v>
      </c>
      <c r="J368" t="s">
        <v>656</v>
      </c>
      <c r="K368" s="22" t="str">
        <f t="shared" si="101"/>
        <v>point</v>
      </c>
      <c r="M368" s="23">
        <f t="shared" si="102"/>
        <v>-502687</v>
      </c>
      <c r="N368" s="23">
        <f t="shared" si="103"/>
        <v>-5.7012976540737732</v>
      </c>
      <c r="O368" t="s">
        <v>462</v>
      </c>
      <c r="P368">
        <v>3</v>
      </c>
      <c r="S368" t="s">
        <v>867</v>
      </c>
    </row>
    <row r="369" spans="1:19" x14ac:dyDescent="0.4">
      <c r="A369" t="s">
        <v>1475</v>
      </c>
      <c r="B369" s="24">
        <v>1954</v>
      </c>
      <c r="C369" s="24">
        <v>7</v>
      </c>
      <c r="D369" s="24">
        <v>16</v>
      </c>
      <c r="G369" s="20">
        <f t="shared" si="85"/>
        <v>-487944000</v>
      </c>
      <c r="J369" t="s">
        <v>656</v>
      </c>
      <c r="K369" s="22" t="str">
        <f t="shared" si="101"/>
        <v>point</v>
      </c>
      <c r="M369" s="23">
        <f t="shared" si="102"/>
        <v>-498319</v>
      </c>
      <c r="N369" s="23">
        <f t="shared" si="103"/>
        <v>-5.6975074463479487</v>
      </c>
      <c r="O369" t="s">
        <v>462</v>
      </c>
      <c r="P369">
        <v>3</v>
      </c>
      <c r="S369" t="s">
        <v>867</v>
      </c>
    </row>
    <row r="370" spans="1:19" x14ac:dyDescent="0.4">
      <c r="A370" t="s">
        <v>1475</v>
      </c>
      <c r="B370" s="24">
        <v>1972</v>
      </c>
      <c r="C370" s="24">
        <v>3</v>
      </c>
      <c r="D370" s="24">
        <v>27</v>
      </c>
      <c r="G370" s="20">
        <f t="shared" si="85"/>
        <v>70545600</v>
      </c>
      <c r="J370" t="s">
        <v>656</v>
      </c>
      <c r="K370" s="22" t="str">
        <f t="shared" si="72"/>
        <v>point</v>
      </c>
      <c r="M370" s="23">
        <f t="shared" si="102"/>
        <v>-343183</v>
      </c>
      <c r="N370" s="23">
        <f t="shared" si="89"/>
        <v>-5.5355257663880533</v>
      </c>
      <c r="O370" t="s">
        <v>666</v>
      </c>
      <c r="P370">
        <v>2</v>
      </c>
      <c r="Q370" t="s">
        <v>599</v>
      </c>
      <c r="S370" t="s">
        <v>602</v>
      </c>
    </row>
    <row r="371" spans="1:19" x14ac:dyDescent="0.4">
      <c r="A371" t="s">
        <v>1475</v>
      </c>
      <c r="B371" s="24">
        <v>1976</v>
      </c>
      <c r="C371" s="24">
        <v>9</v>
      </c>
      <c r="G371" s="20">
        <f t="shared" si="85"/>
        <v>211680000</v>
      </c>
      <c r="J371" t="s">
        <v>656</v>
      </c>
      <c r="K371" s="22" t="str">
        <f t="shared" si="72"/>
        <v>point</v>
      </c>
      <c r="M371" s="23">
        <f t="shared" si="102"/>
        <v>-303979</v>
      </c>
      <c r="N371" s="23">
        <f t="shared" si="89"/>
        <v>-5.4828435819668435</v>
      </c>
      <c r="O371" t="s">
        <v>666</v>
      </c>
      <c r="P371">
        <v>2</v>
      </c>
      <c r="Q371" t="s">
        <v>600</v>
      </c>
      <c r="S371" t="s">
        <v>603</v>
      </c>
    </row>
    <row r="372" spans="1:19" x14ac:dyDescent="0.4">
      <c r="A372" t="s">
        <v>1475</v>
      </c>
      <c r="B372" s="24">
        <v>1982</v>
      </c>
      <c r="C372" s="24">
        <v>1</v>
      </c>
      <c r="D372" s="24">
        <v>28</v>
      </c>
      <c r="G372" s="20">
        <f t="shared" si="85"/>
        <v>381067200</v>
      </c>
      <c r="H372" s="20">
        <f>12*24</f>
        <v>288</v>
      </c>
      <c r="J372" t="s">
        <v>656</v>
      </c>
      <c r="K372" s="22" t="str">
        <f t="shared" si="72"/>
        <v>span</v>
      </c>
      <c r="M372" s="23">
        <f t="shared" si="102"/>
        <v>-256927</v>
      </c>
      <c r="N372" s="23">
        <f t="shared" si="89"/>
        <v>-5.4098097458967871</v>
      </c>
      <c r="O372" t="s">
        <v>666</v>
      </c>
      <c r="P372">
        <v>2</v>
      </c>
      <c r="Q372" t="s">
        <v>601</v>
      </c>
      <c r="S372" t="s">
        <v>603</v>
      </c>
    </row>
    <row r="373" spans="1:19" x14ac:dyDescent="0.4">
      <c r="A373" t="s">
        <v>1475</v>
      </c>
      <c r="B373" s="24">
        <v>1983</v>
      </c>
      <c r="C373" s="24">
        <v>5</v>
      </c>
      <c r="D373" s="24">
        <v>28</v>
      </c>
      <c r="E373" s="24">
        <v>4</v>
      </c>
      <c r="F373" s="24">
        <v>0</v>
      </c>
      <c r="G373" s="20">
        <f t="shared" si="85"/>
        <v>422942400.00000012</v>
      </c>
      <c r="H373" s="20">
        <v>6</v>
      </c>
      <c r="J373" t="s">
        <v>656</v>
      </c>
      <c r="K373" s="22" t="str">
        <f t="shared" si="72"/>
        <v>span</v>
      </c>
      <c r="M373" s="23">
        <f t="shared" si="102"/>
        <v>-245294.99999999997</v>
      </c>
      <c r="N373" s="23">
        <f t="shared" si="89"/>
        <v>-5.3896886958030406</v>
      </c>
      <c r="O373" t="s">
        <v>464</v>
      </c>
      <c r="P373">
        <v>2</v>
      </c>
      <c r="Q373" t="s">
        <v>605</v>
      </c>
      <c r="S373" t="s">
        <v>604</v>
      </c>
    </row>
    <row r="374" spans="1:19" x14ac:dyDescent="0.4">
      <c r="A374" t="s">
        <v>1475</v>
      </c>
      <c r="B374" s="24">
        <v>1983</v>
      </c>
      <c r="C374" s="24">
        <v>5</v>
      </c>
      <c r="D374" s="24">
        <v>28</v>
      </c>
      <c r="E374" s="24">
        <v>10</v>
      </c>
      <c r="F374" s="24">
        <v>0</v>
      </c>
      <c r="G374" s="20">
        <f t="shared" si="85"/>
        <v>422964000.00000012</v>
      </c>
      <c r="J374" t="s">
        <v>656</v>
      </c>
      <c r="K374" s="22" t="str">
        <f t="shared" si="72"/>
        <v>point</v>
      </c>
      <c r="M374" s="23">
        <f t="shared" si="102"/>
        <v>-245288.99999999997</v>
      </c>
      <c r="N374" s="23">
        <f t="shared" si="89"/>
        <v>-5.3896780726808364</v>
      </c>
      <c r="O374" t="s">
        <v>464</v>
      </c>
      <c r="P374">
        <v>3</v>
      </c>
      <c r="Q374" t="s">
        <v>617</v>
      </c>
      <c r="R374" t="s">
        <v>616</v>
      </c>
      <c r="S374" t="s">
        <v>604</v>
      </c>
    </row>
    <row r="375" spans="1:19" x14ac:dyDescent="0.4">
      <c r="A375" t="s">
        <v>1475</v>
      </c>
      <c r="B375" s="24">
        <v>1983</v>
      </c>
      <c r="C375" s="24">
        <v>5</v>
      </c>
      <c r="D375" s="24">
        <v>28</v>
      </c>
      <c r="E375" s="24">
        <v>15</v>
      </c>
      <c r="F375" s="24">
        <v>0</v>
      </c>
      <c r="G375" s="20">
        <f t="shared" si="85"/>
        <v>422982000</v>
      </c>
      <c r="J375" t="s">
        <v>656</v>
      </c>
      <c r="K375" s="22" t="str">
        <f t="shared" si="72"/>
        <v>point</v>
      </c>
      <c r="M375" s="23">
        <f t="shared" si="102"/>
        <v>-245284</v>
      </c>
      <c r="N375" s="23">
        <f t="shared" si="89"/>
        <v>-5.389669219880501</v>
      </c>
      <c r="O375" t="s">
        <v>464</v>
      </c>
      <c r="P375">
        <v>4</v>
      </c>
      <c r="Q375" t="s">
        <v>606</v>
      </c>
      <c r="S375" t="s">
        <v>604</v>
      </c>
    </row>
    <row r="376" spans="1:19" x14ac:dyDescent="0.4">
      <c r="A376" t="s">
        <v>1475</v>
      </c>
      <c r="B376" s="24">
        <v>1983</v>
      </c>
      <c r="C376" s="24">
        <v>5</v>
      </c>
      <c r="D376" s="24">
        <v>28</v>
      </c>
      <c r="E376" s="24">
        <v>21</v>
      </c>
      <c r="F376" s="24">
        <v>15</v>
      </c>
      <c r="G376" s="20">
        <f t="shared" si="85"/>
        <v>423004500.00000012</v>
      </c>
      <c r="J376" t="s">
        <v>656</v>
      </c>
      <c r="K376" s="22" t="str">
        <f t="shared" si="72"/>
        <v>point</v>
      </c>
      <c r="M376" s="23">
        <f t="shared" si="102"/>
        <v>-245277.74999999997</v>
      </c>
      <c r="N376" s="23">
        <f t="shared" si="89"/>
        <v>-5.3896581536263053</v>
      </c>
      <c r="O376" t="s">
        <v>462</v>
      </c>
      <c r="P376">
        <v>3</v>
      </c>
      <c r="Q376" t="s">
        <v>608</v>
      </c>
      <c r="S376" t="s">
        <v>604</v>
      </c>
    </row>
    <row r="377" spans="1:19" x14ac:dyDescent="0.4">
      <c r="A377" t="s">
        <v>1475</v>
      </c>
      <c r="B377" s="24">
        <v>1983</v>
      </c>
      <c r="C377" s="24">
        <v>5</v>
      </c>
      <c r="D377" s="24">
        <v>29</v>
      </c>
      <c r="E377" s="24">
        <v>3</v>
      </c>
      <c r="F377" s="24">
        <v>0</v>
      </c>
      <c r="G377" s="20">
        <f t="shared" si="85"/>
        <v>423025200</v>
      </c>
      <c r="J377" t="s">
        <v>656</v>
      </c>
      <c r="K377" s="22" t="str">
        <f t="shared" ref="K377:K441" si="104">IF(H377="",IF(I377="","point","middle"),"span")</f>
        <v>point</v>
      </c>
      <c r="M377" s="23">
        <f t="shared" si="102"/>
        <v>-245272</v>
      </c>
      <c r="N377" s="23">
        <f t="shared" si="89"/>
        <v>-5.3896479724233961</v>
      </c>
      <c r="O377" t="s">
        <v>462</v>
      </c>
      <c r="P377">
        <v>3</v>
      </c>
      <c r="Q377" t="s">
        <v>609</v>
      </c>
      <c r="S377" t="s">
        <v>604</v>
      </c>
    </row>
    <row r="378" spans="1:19" x14ac:dyDescent="0.4">
      <c r="A378" t="s">
        <v>1475</v>
      </c>
      <c r="B378" s="24">
        <v>1983</v>
      </c>
      <c r="C378" s="24">
        <v>5</v>
      </c>
      <c r="D378" s="24">
        <v>29</v>
      </c>
      <c r="E378" s="24">
        <v>10</v>
      </c>
      <c r="F378" s="24">
        <v>30</v>
      </c>
      <c r="G378" s="20">
        <f t="shared" si="85"/>
        <v>423052200</v>
      </c>
      <c r="J378" t="s">
        <v>656</v>
      </c>
      <c r="K378" s="22" t="str">
        <f t="shared" si="104"/>
        <v>point</v>
      </c>
      <c r="M378" s="23">
        <f t="shared" si="102"/>
        <v>-245264.5</v>
      </c>
      <c r="N378" s="23">
        <f t="shared" si="89"/>
        <v>-5.3896346922348082</v>
      </c>
      <c r="O378" t="s">
        <v>462</v>
      </c>
      <c r="P378">
        <v>4</v>
      </c>
      <c r="Q378" t="s">
        <v>607</v>
      </c>
      <c r="S378" t="s">
        <v>604</v>
      </c>
    </row>
    <row r="379" spans="1:19" x14ac:dyDescent="0.4">
      <c r="A379" t="s">
        <v>1475</v>
      </c>
      <c r="B379" s="24">
        <v>1983</v>
      </c>
      <c r="C379" s="24">
        <v>5</v>
      </c>
      <c r="D379" s="24">
        <v>30</v>
      </c>
      <c r="G379" s="20">
        <f t="shared" si="85"/>
        <v>423144000</v>
      </c>
      <c r="J379" t="s">
        <v>656</v>
      </c>
      <c r="K379" s="22" t="str">
        <f t="shared" si="104"/>
        <v>point</v>
      </c>
      <c r="M379" s="23">
        <f t="shared" si="102"/>
        <v>-245239</v>
      </c>
      <c r="N379" s="23">
        <f t="shared" si="89"/>
        <v>-5.3895895365558024</v>
      </c>
      <c r="O379" t="s">
        <v>462</v>
      </c>
      <c r="P379">
        <v>4</v>
      </c>
      <c r="Q379" t="s">
        <v>610</v>
      </c>
      <c r="S379" t="s">
        <v>604</v>
      </c>
    </row>
    <row r="380" spans="1:19" x14ac:dyDescent="0.4">
      <c r="A380" t="s">
        <v>1475</v>
      </c>
      <c r="B380" s="24">
        <v>1983</v>
      </c>
      <c r="C380" s="24">
        <v>5</v>
      </c>
      <c r="D380" s="24">
        <v>31</v>
      </c>
      <c r="G380" s="20">
        <f t="shared" si="85"/>
        <v>423230400</v>
      </c>
      <c r="J380" t="s">
        <v>656</v>
      </c>
      <c r="K380" s="22" t="str">
        <f t="shared" si="104"/>
        <v>point</v>
      </c>
      <c r="M380" s="23">
        <f t="shared" si="102"/>
        <v>-245215</v>
      </c>
      <c r="N380" s="23">
        <f t="shared" si="89"/>
        <v>-5.3895470328038746</v>
      </c>
      <c r="O380" t="s">
        <v>462</v>
      </c>
      <c r="P380">
        <v>4</v>
      </c>
      <c r="Q380" t="s">
        <v>611</v>
      </c>
      <c r="S380" t="s">
        <v>604</v>
      </c>
    </row>
    <row r="381" spans="1:19" x14ac:dyDescent="0.4">
      <c r="A381" t="s">
        <v>1475</v>
      </c>
      <c r="B381" s="24">
        <v>1983</v>
      </c>
      <c r="C381" s="24">
        <v>6</v>
      </c>
      <c r="D381" s="24">
        <v>1</v>
      </c>
      <c r="G381" s="20">
        <f t="shared" si="85"/>
        <v>423316800</v>
      </c>
      <c r="J381" t="s">
        <v>656</v>
      </c>
      <c r="K381" s="22" t="str">
        <f t="shared" si="104"/>
        <v>point</v>
      </c>
      <c r="M381" s="23">
        <f t="shared" si="102"/>
        <v>-245191</v>
      </c>
      <c r="N381" s="23">
        <f t="shared" si="89"/>
        <v>-5.3895045248917617</v>
      </c>
      <c r="O381" t="s">
        <v>462</v>
      </c>
      <c r="P381">
        <v>3</v>
      </c>
      <c r="Q381" t="s">
        <v>612</v>
      </c>
      <c r="S381" t="s">
        <v>604</v>
      </c>
    </row>
    <row r="382" spans="1:19" x14ac:dyDescent="0.4">
      <c r="A382" t="s">
        <v>1475</v>
      </c>
      <c r="B382" s="24">
        <v>1983</v>
      </c>
      <c r="C382" s="24">
        <v>6</v>
      </c>
      <c r="D382" s="24">
        <v>5</v>
      </c>
      <c r="G382" s="20">
        <f t="shared" si="85"/>
        <v>423662400</v>
      </c>
      <c r="J382" t="s">
        <v>656</v>
      </c>
      <c r="K382" s="22" t="str">
        <f t="shared" si="104"/>
        <v>point</v>
      </c>
      <c r="M382" s="23">
        <f t="shared" si="102"/>
        <v>-245095</v>
      </c>
      <c r="N382" s="23">
        <f t="shared" si="89"/>
        <v>-5.3893344516251558</v>
      </c>
      <c r="O382" t="s">
        <v>462</v>
      </c>
      <c r="P382">
        <v>1</v>
      </c>
      <c r="Q382" t="s">
        <v>613</v>
      </c>
      <c r="S382" t="s">
        <v>604</v>
      </c>
    </row>
    <row r="383" spans="1:19" x14ac:dyDescent="0.4">
      <c r="A383" t="s">
        <v>1475</v>
      </c>
      <c r="B383" s="24">
        <v>1995</v>
      </c>
      <c r="C383" s="24">
        <v>7</v>
      </c>
      <c r="G383" s="20">
        <f t="shared" ref="G383:G447" si="105">(IF(C383="",DATE(B383,7,1),IF(D383="",DATE(B383,C383,16), IF(E383="",DATE(B383,C383,D383)+TIME(12,0,0), IF(F383="", DATE(B383,C383,D383)+TIME(E383,0,0),DATE(B383,C383,D383)+TIME(E383,F383,0))))) - 25569)*86400</f>
        <v>805852800</v>
      </c>
      <c r="J383" t="s">
        <v>656</v>
      </c>
      <c r="K383" s="22" t="str">
        <f t="shared" si="104"/>
        <v>point</v>
      </c>
      <c r="M383" s="23">
        <f t="shared" si="102"/>
        <v>-138931</v>
      </c>
      <c r="N383" s="23">
        <f t="shared" si="89"/>
        <v>-5.1427991616972806</v>
      </c>
      <c r="O383" t="s">
        <v>666</v>
      </c>
      <c r="P383">
        <v>2</v>
      </c>
      <c r="Q383" t="s">
        <v>628</v>
      </c>
      <c r="S383" t="s">
        <v>631</v>
      </c>
    </row>
    <row r="384" spans="1:19" x14ac:dyDescent="0.4">
      <c r="A384" t="s">
        <v>1475</v>
      </c>
      <c r="B384" s="24">
        <v>1996</v>
      </c>
      <c r="C384" s="24">
        <v>8</v>
      </c>
      <c r="G384" s="20">
        <f t="shared" si="105"/>
        <v>840153600</v>
      </c>
      <c r="J384" t="s">
        <v>656</v>
      </c>
      <c r="K384" s="22" t="str">
        <f t="shared" si="104"/>
        <v>point</v>
      </c>
      <c r="M384" s="23">
        <f t="shared" si="102"/>
        <v>-129403</v>
      </c>
      <c r="N384" s="23">
        <f t="shared" si="89"/>
        <v>-5.111944344867017</v>
      </c>
      <c r="O384" t="s">
        <v>666</v>
      </c>
      <c r="P384">
        <v>2</v>
      </c>
      <c r="Q384" t="s">
        <v>628</v>
      </c>
      <c r="S384" t="s">
        <v>631</v>
      </c>
    </row>
    <row r="385" spans="1:19" x14ac:dyDescent="0.4">
      <c r="A385" t="s">
        <v>1475</v>
      </c>
      <c r="B385" s="24">
        <v>1996</v>
      </c>
      <c r="C385" s="24">
        <v>2</v>
      </c>
      <c r="G385" s="20">
        <f t="shared" si="105"/>
        <v>824428800</v>
      </c>
      <c r="J385" t="s">
        <v>656</v>
      </c>
      <c r="K385" s="22" t="str">
        <f t="shared" si="104"/>
        <v>point</v>
      </c>
      <c r="M385" s="23">
        <f t="shared" si="102"/>
        <v>-133771</v>
      </c>
      <c r="N385" s="23">
        <f t="shared" si="89"/>
        <v>-5.1263619736332124</v>
      </c>
      <c r="O385" t="s">
        <v>464</v>
      </c>
      <c r="P385">
        <v>2</v>
      </c>
      <c r="Q385" t="s">
        <v>629</v>
      </c>
      <c r="S385" t="s">
        <v>631</v>
      </c>
    </row>
    <row r="386" spans="1:19" x14ac:dyDescent="0.4">
      <c r="A386" t="s">
        <v>1475</v>
      </c>
      <c r="B386" s="24">
        <v>1996</v>
      </c>
      <c r="C386" s="24">
        <v>9</v>
      </c>
      <c r="D386" s="24">
        <v>29</v>
      </c>
      <c r="E386" s="24">
        <v>10</v>
      </c>
      <c r="F386" s="24">
        <v>48</v>
      </c>
      <c r="G386" s="20">
        <f t="shared" si="105"/>
        <v>843994079.99999976</v>
      </c>
      <c r="J386" t="s">
        <v>656</v>
      </c>
      <c r="K386" s="22" t="str">
        <f t="shared" si="104"/>
        <v>point</v>
      </c>
      <c r="M386" s="23">
        <f t="shared" si="102"/>
        <v>-128336.20000000007</v>
      </c>
      <c r="N386" s="23">
        <f t="shared" ref="N386:N450" si="106">IF(M386=0,0, IF(M386&gt;0,LOG10(M386), -LOG10(-1*M386)))</f>
        <v>-5.1083491758039816</v>
      </c>
      <c r="O386" t="s">
        <v>464</v>
      </c>
      <c r="P386">
        <v>2</v>
      </c>
      <c r="Q386" t="s">
        <v>614</v>
      </c>
      <c r="S386" t="s">
        <v>631</v>
      </c>
    </row>
    <row r="387" spans="1:19" x14ac:dyDescent="0.4">
      <c r="A387" t="s">
        <v>1475</v>
      </c>
      <c r="B387" s="24">
        <v>1996</v>
      </c>
      <c r="C387" s="24">
        <v>9</v>
      </c>
      <c r="D387" s="24">
        <v>30</v>
      </c>
      <c r="E387" s="24">
        <v>0</v>
      </c>
      <c r="G387" s="20">
        <f t="shared" si="105"/>
        <v>844041600</v>
      </c>
      <c r="J387" t="s">
        <v>656</v>
      </c>
      <c r="K387" s="22" t="str">
        <f t="shared" si="104"/>
        <v>point</v>
      </c>
      <c r="M387" s="23">
        <f t="shared" si="102"/>
        <v>-128323</v>
      </c>
      <c r="N387" s="23">
        <f t="shared" si="106"/>
        <v>-5.1083045042148374</v>
      </c>
      <c r="O387" t="s">
        <v>464</v>
      </c>
      <c r="P387">
        <v>2</v>
      </c>
      <c r="Q387" t="s">
        <v>618</v>
      </c>
      <c r="S387" t="s">
        <v>631</v>
      </c>
    </row>
    <row r="388" spans="1:19" x14ac:dyDescent="0.4">
      <c r="A388" t="s">
        <v>1475</v>
      </c>
      <c r="B388" s="24">
        <v>1996</v>
      </c>
      <c r="C388" s="24">
        <v>9</v>
      </c>
      <c r="D388" s="24">
        <v>30</v>
      </c>
      <c r="E388" s="24">
        <v>22</v>
      </c>
      <c r="F388" s="24">
        <v>0</v>
      </c>
      <c r="G388" s="20">
        <f t="shared" si="105"/>
        <v>844120799.99999976</v>
      </c>
      <c r="J388" t="s">
        <v>656</v>
      </c>
      <c r="K388" s="22" t="str">
        <f t="shared" si="104"/>
        <v>point</v>
      </c>
      <c r="M388" s="23">
        <f t="shared" si="102"/>
        <v>-128301.00000000007</v>
      </c>
      <c r="N388" s="23">
        <f t="shared" si="106"/>
        <v>-5.108230041353802</v>
      </c>
      <c r="O388" t="s">
        <v>464</v>
      </c>
      <c r="P388">
        <v>3</v>
      </c>
      <c r="Q388" t="s">
        <v>615</v>
      </c>
      <c r="R388" t="s">
        <v>616</v>
      </c>
      <c r="S388" t="s">
        <v>631</v>
      </c>
    </row>
    <row r="389" spans="1:19" x14ac:dyDescent="0.4">
      <c r="A389" t="s">
        <v>1475</v>
      </c>
      <c r="B389" s="24">
        <v>1996</v>
      </c>
      <c r="C389" s="24">
        <v>10</v>
      </c>
      <c r="D389" s="24">
        <v>1</v>
      </c>
      <c r="E389" s="24">
        <v>6</v>
      </c>
      <c r="F389" s="24">
        <v>0</v>
      </c>
      <c r="G389" s="20">
        <f t="shared" si="105"/>
        <v>844149600</v>
      </c>
      <c r="J389" t="s">
        <v>656</v>
      </c>
      <c r="K389" s="22" t="str">
        <f t="shared" si="104"/>
        <v>point</v>
      </c>
      <c r="M389" s="23">
        <f t="shared" si="102"/>
        <v>-128293</v>
      </c>
      <c r="N389" s="23">
        <f t="shared" si="106"/>
        <v>-5.108202960784058</v>
      </c>
      <c r="O389" t="s">
        <v>464</v>
      </c>
      <c r="P389">
        <v>3</v>
      </c>
      <c r="Q389" t="s">
        <v>606</v>
      </c>
      <c r="S389" t="s">
        <v>631</v>
      </c>
    </row>
    <row r="390" spans="1:19" x14ac:dyDescent="0.4">
      <c r="A390" t="s">
        <v>1475</v>
      </c>
      <c r="B390" s="24">
        <v>1996</v>
      </c>
      <c r="C390" s="24">
        <v>10</v>
      </c>
      <c r="D390" s="24">
        <v>1</v>
      </c>
      <c r="E390" s="24">
        <v>7</v>
      </c>
      <c r="G390" s="20">
        <f t="shared" si="105"/>
        <v>844153199.99999976</v>
      </c>
      <c r="J390" t="s">
        <v>656</v>
      </c>
      <c r="K390" s="22" t="str">
        <f t="shared" si="104"/>
        <v>point</v>
      </c>
      <c r="M390" s="23">
        <f t="shared" si="102"/>
        <v>-128292.00000000007</v>
      </c>
      <c r="N390" s="23">
        <f t="shared" si="106"/>
        <v>-5.1081995755941065</v>
      </c>
      <c r="O390" t="s">
        <v>462</v>
      </c>
      <c r="P390">
        <v>2</v>
      </c>
      <c r="Q390" t="s">
        <v>619</v>
      </c>
      <c r="S390" t="s">
        <v>631</v>
      </c>
    </row>
    <row r="391" spans="1:19" x14ac:dyDescent="0.4">
      <c r="A391" t="s">
        <v>1475</v>
      </c>
      <c r="B391" s="24">
        <v>1996</v>
      </c>
      <c r="C391" s="24">
        <v>10</v>
      </c>
      <c r="D391" s="24">
        <v>2</v>
      </c>
      <c r="E391" s="24">
        <v>4</v>
      </c>
      <c r="F391" s="24">
        <v>47</v>
      </c>
      <c r="G391" s="20">
        <f t="shared" si="105"/>
        <v>844231620.00000024</v>
      </c>
      <c r="J391" t="s">
        <v>656</v>
      </c>
      <c r="K391" s="22" t="str">
        <f t="shared" si="104"/>
        <v>point</v>
      </c>
      <c r="M391" s="23">
        <f t="shared" si="102"/>
        <v>-128270.2166666666</v>
      </c>
      <c r="N391" s="23">
        <f t="shared" si="106"/>
        <v>-5.1081258283244591</v>
      </c>
      <c r="O391" t="s">
        <v>462</v>
      </c>
      <c r="P391">
        <v>4</v>
      </c>
      <c r="Q391" t="s">
        <v>620</v>
      </c>
      <c r="S391" t="s">
        <v>631</v>
      </c>
    </row>
    <row r="392" spans="1:19" x14ac:dyDescent="0.4">
      <c r="A392" t="s">
        <v>1475</v>
      </c>
      <c r="B392" s="24">
        <v>1996</v>
      </c>
      <c r="C392" s="24">
        <v>10</v>
      </c>
      <c r="D392" s="24">
        <v>2</v>
      </c>
      <c r="E392" s="24">
        <v>8</v>
      </c>
      <c r="F392" s="24">
        <v>0</v>
      </c>
      <c r="G392" s="20">
        <f t="shared" si="105"/>
        <v>844243200.00000024</v>
      </c>
      <c r="J392" t="s">
        <v>656</v>
      </c>
      <c r="K392" s="22" t="str">
        <f t="shared" si="104"/>
        <v>point</v>
      </c>
      <c r="M392" s="23">
        <f t="shared" si="102"/>
        <v>-128266.99999999993</v>
      </c>
      <c r="N392" s="23">
        <f t="shared" si="106"/>
        <v>-5.1081149372685593</v>
      </c>
      <c r="O392" t="s">
        <v>462</v>
      </c>
      <c r="P392">
        <v>4</v>
      </c>
      <c r="Q392" t="s">
        <v>622</v>
      </c>
      <c r="S392" t="s">
        <v>631</v>
      </c>
    </row>
    <row r="393" spans="1:19" x14ac:dyDescent="0.4">
      <c r="A393" t="s">
        <v>1475</v>
      </c>
      <c r="B393" s="24">
        <v>1996</v>
      </c>
      <c r="C393" s="24">
        <v>10</v>
      </c>
      <c r="D393" s="24">
        <v>2</v>
      </c>
      <c r="E393" s="24">
        <v>15</v>
      </c>
      <c r="G393" s="20">
        <f t="shared" si="105"/>
        <v>844268400</v>
      </c>
      <c r="J393" t="s">
        <v>656</v>
      </c>
      <c r="K393" s="22" t="str">
        <f t="shared" si="104"/>
        <v>point</v>
      </c>
      <c r="M393" s="23">
        <f t="shared" si="102"/>
        <v>-128260</v>
      </c>
      <c r="N393" s="23">
        <f t="shared" si="106"/>
        <v>-5.1080912355812202</v>
      </c>
      <c r="O393" t="s">
        <v>462</v>
      </c>
      <c r="P393">
        <v>2</v>
      </c>
      <c r="Q393" t="s">
        <v>621</v>
      </c>
      <c r="S393" t="s">
        <v>631</v>
      </c>
    </row>
    <row r="394" spans="1:19" x14ac:dyDescent="0.4">
      <c r="A394" t="s">
        <v>1475</v>
      </c>
      <c r="B394" s="24">
        <v>1996</v>
      </c>
      <c r="C394" s="24">
        <v>10</v>
      </c>
      <c r="D394" s="24">
        <v>3</v>
      </c>
      <c r="G394" s="20">
        <f t="shared" si="105"/>
        <v>844344000</v>
      </c>
      <c r="J394" t="s">
        <v>656</v>
      </c>
      <c r="K394" s="22" t="str">
        <f t="shared" si="104"/>
        <v>point</v>
      </c>
      <c r="M394" s="23">
        <f t="shared" si="102"/>
        <v>-128239</v>
      </c>
      <c r="N394" s="23">
        <f t="shared" si="106"/>
        <v>-5.1080201227570736</v>
      </c>
      <c r="O394" t="s">
        <v>462</v>
      </c>
      <c r="P394">
        <v>4</v>
      </c>
      <c r="Q394" t="s">
        <v>623</v>
      </c>
      <c r="S394" t="s">
        <v>631</v>
      </c>
    </row>
    <row r="395" spans="1:19" x14ac:dyDescent="0.4">
      <c r="A395" t="s">
        <v>1475</v>
      </c>
      <c r="B395" s="24">
        <v>1996</v>
      </c>
      <c r="C395" s="24">
        <v>10</v>
      </c>
      <c r="D395" s="24">
        <v>4</v>
      </c>
      <c r="G395" s="20">
        <f t="shared" si="105"/>
        <v>844430400</v>
      </c>
      <c r="J395" t="s">
        <v>656</v>
      </c>
      <c r="K395" s="22" t="str">
        <f t="shared" si="104"/>
        <v>point</v>
      </c>
      <c r="M395" s="23">
        <f t="shared" si="102"/>
        <v>-128215</v>
      </c>
      <c r="N395" s="23">
        <f t="shared" si="106"/>
        <v>-5.107938836697226</v>
      </c>
      <c r="O395" t="s">
        <v>462</v>
      </c>
      <c r="P395">
        <v>4</v>
      </c>
      <c r="Q395" t="s">
        <v>624</v>
      </c>
      <c r="S395" t="s">
        <v>631</v>
      </c>
    </row>
    <row r="396" spans="1:19" x14ac:dyDescent="0.4">
      <c r="A396" t="s">
        <v>1475</v>
      </c>
      <c r="B396" s="24">
        <v>1996</v>
      </c>
      <c r="C396" s="24">
        <v>10</v>
      </c>
      <c r="D396" s="24">
        <v>7</v>
      </c>
      <c r="G396" s="20">
        <f t="shared" si="105"/>
        <v>844689600</v>
      </c>
      <c r="J396" t="s">
        <v>656</v>
      </c>
      <c r="K396" s="22" t="str">
        <f t="shared" si="104"/>
        <v>point</v>
      </c>
      <c r="M396" s="23">
        <f t="shared" si="102"/>
        <v>-128143</v>
      </c>
      <c r="N396" s="23">
        <f t="shared" si="106"/>
        <v>-5.1076948871928671</v>
      </c>
      <c r="O396" t="s">
        <v>462</v>
      </c>
      <c r="P396">
        <v>4</v>
      </c>
      <c r="Q396" t="s">
        <v>625</v>
      </c>
      <c r="S396" t="s">
        <v>631</v>
      </c>
    </row>
    <row r="397" spans="1:19" x14ac:dyDescent="0.4">
      <c r="A397" t="s">
        <v>1475</v>
      </c>
      <c r="B397" s="24">
        <v>1996</v>
      </c>
      <c r="C397" s="24">
        <v>10</v>
      </c>
      <c r="D397" s="24">
        <v>9</v>
      </c>
      <c r="E397" s="24">
        <v>12</v>
      </c>
      <c r="F397" s="24">
        <v>30</v>
      </c>
      <c r="G397" s="20">
        <f t="shared" si="105"/>
        <v>844864200.00000024</v>
      </c>
      <c r="H397" s="20">
        <v>1.75</v>
      </c>
      <c r="J397" t="s">
        <v>656</v>
      </c>
      <c r="K397" s="22" t="str">
        <f t="shared" si="104"/>
        <v>span</v>
      </c>
      <c r="M397" s="23">
        <f t="shared" si="102"/>
        <v>-128094.49999999993</v>
      </c>
      <c r="N397" s="23">
        <f t="shared" si="106"/>
        <v>-5.1075304828209553</v>
      </c>
      <c r="O397" t="s">
        <v>462</v>
      </c>
      <c r="P397">
        <v>4</v>
      </c>
      <c r="Q397" t="s">
        <v>644</v>
      </c>
      <c r="S397" t="s">
        <v>631</v>
      </c>
    </row>
    <row r="398" spans="1:19" x14ac:dyDescent="0.4">
      <c r="A398" t="s">
        <v>1475</v>
      </c>
      <c r="B398" s="24">
        <v>1996</v>
      </c>
      <c r="C398" s="24">
        <v>10</v>
      </c>
      <c r="D398" s="24">
        <v>10</v>
      </c>
      <c r="G398" s="20">
        <f t="shared" si="105"/>
        <v>844948800</v>
      </c>
      <c r="J398" t="s">
        <v>656</v>
      </c>
      <c r="K398" s="22" t="str">
        <f t="shared" si="104"/>
        <v>point</v>
      </c>
      <c r="M398" s="23">
        <f t="shared" si="102"/>
        <v>-128071</v>
      </c>
      <c r="N398" s="23">
        <f t="shared" si="106"/>
        <v>-5.1074508005815176</v>
      </c>
      <c r="O398" t="s">
        <v>462</v>
      </c>
      <c r="P398">
        <v>4</v>
      </c>
      <c r="Q398" t="s">
        <v>626</v>
      </c>
      <c r="S398" t="s">
        <v>631</v>
      </c>
    </row>
    <row r="399" spans="1:19" x14ac:dyDescent="0.4">
      <c r="A399" t="s">
        <v>1475</v>
      </c>
      <c r="B399" s="24">
        <v>1996</v>
      </c>
      <c r="C399" s="24">
        <v>10</v>
      </c>
      <c r="D399" s="24">
        <v>11</v>
      </c>
      <c r="G399" s="20">
        <f t="shared" si="105"/>
        <v>845035200</v>
      </c>
      <c r="J399" t="s">
        <v>656</v>
      </c>
      <c r="K399" s="22" t="str">
        <f t="shared" si="104"/>
        <v>point</v>
      </c>
      <c r="M399" s="23">
        <f t="shared" si="102"/>
        <v>-128047</v>
      </c>
      <c r="N399" s="23">
        <f t="shared" si="106"/>
        <v>-5.10736940788287</v>
      </c>
      <c r="O399" t="s">
        <v>462</v>
      </c>
      <c r="P399">
        <v>3</v>
      </c>
      <c r="Q399" t="s">
        <v>627</v>
      </c>
      <c r="S399" t="s">
        <v>631</v>
      </c>
    </row>
    <row r="400" spans="1:19" x14ac:dyDescent="0.4">
      <c r="A400" t="s">
        <v>1475</v>
      </c>
      <c r="B400" s="24">
        <v>1996</v>
      </c>
      <c r="C400" s="24">
        <v>10</v>
      </c>
      <c r="D400" s="24">
        <v>13</v>
      </c>
      <c r="G400" s="20">
        <f t="shared" si="105"/>
        <v>845208000</v>
      </c>
      <c r="J400" t="s">
        <v>656</v>
      </c>
      <c r="K400" s="22" t="str">
        <f t="shared" si="104"/>
        <v>point</v>
      </c>
      <c r="M400" s="23">
        <f t="shared" si="102"/>
        <v>-127999</v>
      </c>
      <c r="N400" s="23">
        <f t="shared" si="106"/>
        <v>-5.1072065767089745</v>
      </c>
      <c r="O400" t="s">
        <v>464</v>
      </c>
      <c r="P400">
        <v>0</v>
      </c>
      <c r="Q400" t="s">
        <v>630</v>
      </c>
      <c r="S400" t="s">
        <v>631</v>
      </c>
    </row>
    <row r="401" spans="1:19" x14ac:dyDescent="0.4">
      <c r="A401" t="s">
        <v>1475</v>
      </c>
      <c r="B401" s="24">
        <v>1996</v>
      </c>
      <c r="C401" s="24">
        <v>10</v>
      </c>
      <c r="D401" s="24">
        <v>17</v>
      </c>
      <c r="G401" s="20">
        <f t="shared" si="105"/>
        <v>845553600</v>
      </c>
      <c r="J401" t="s">
        <v>656</v>
      </c>
      <c r="K401" s="22" t="str">
        <f t="shared" si="104"/>
        <v>point</v>
      </c>
      <c r="M401" s="23">
        <f t="shared" si="102"/>
        <v>-127903</v>
      </c>
      <c r="N401" s="23">
        <f t="shared" si="106"/>
        <v>-5.1068807310944928</v>
      </c>
      <c r="O401" t="s">
        <v>486</v>
      </c>
      <c r="P401">
        <v>1</v>
      </c>
      <c r="Q401" t="s">
        <v>632</v>
      </c>
      <c r="S401" t="s">
        <v>631</v>
      </c>
    </row>
    <row r="402" spans="1:19" x14ac:dyDescent="0.4">
      <c r="A402" t="s">
        <v>1475</v>
      </c>
      <c r="B402" s="24">
        <v>1996</v>
      </c>
      <c r="C402" s="24">
        <v>11</v>
      </c>
      <c r="D402" s="24">
        <v>4</v>
      </c>
      <c r="G402" s="20">
        <f t="shared" si="105"/>
        <v>847108800</v>
      </c>
      <c r="J402" t="s">
        <v>656</v>
      </c>
      <c r="K402" s="22" t="str">
        <f t="shared" si="104"/>
        <v>point</v>
      </c>
      <c r="M402" s="23">
        <f t="shared" si="102"/>
        <v>-127471</v>
      </c>
      <c r="N402" s="23">
        <f t="shared" si="106"/>
        <v>-5.1054113928286986</v>
      </c>
      <c r="O402" t="s">
        <v>666</v>
      </c>
      <c r="P402">
        <v>2</v>
      </c>
      <c r="Q402" t="s">
        <v>634</v>
      </c>
      <c r="S402" t="s">
        <v>635</v>
      </c>
    </row>
    <row r="403" spans="1:19" x14ac:dyDescent="0.4">
      <c r="A403" t="s">
        <v>1475</v>
      </c>
      <c r="B403" s="24">
        <v>1998</v>
      </c>
      <c r="C403" s="24">
        <v>12</v>
      </c>
      <c r="D403" s="24">
        <v>1</v>
      </c>
      <c r="G403" s="20">
        <f t="shared" si="105"/>
        <v>912513600</v>
      </c>
      <c r="J403" t="s">
        <v>656</v>
      </c>
      <c r="K403" s="22" t="str">
        <f t="shared" si="104"/>
        <v>point</v>
      </c>
      <c r="M403" s="23">
        <f t="shared" si="102"/>
        <v>-109303</v>
      </c>
      <c r="N403" s="23">
        <f t="shared" si="106"/>
        <v>-5.0386320820372203</v>
      </c>
      <c r="O403" t="s">
        <v>464</v>
      </c>
      <c r="P403">
        <v>1</v>
      </c>
      <c r="Q403" t="s">
        <v>638</v>
      </c>
      <c r="S403" t="s">
        <v>645</v>
      </c>
    </row>
    <row r="404" spans="1:19" x14ac:dyDescent="0.4">
      <c r="A404" t="s">
        <v>1475</v>
      </c>
      <c r="B404" s="24">
        <v>1998</v>
      </c>
      <c r="C404" s="24">
        <v>12</v>
      </c>
      <c r="D404" s="24">
        <v>17</v>
      </c>
      <c r="E404" s="24">
        <v>22</v>
      </c>
      <c r="F404" s="24">
        <v>0</v>
      </c>
      <c r="G404" s="20">
        <f t="shared" si="105"/>
        <v>913931999.99999976</v>
      </c>
      <c r="J404" t="s">
        <v>656</v>
      </c>
      <c r="K404" s="22" t="str">
        <f t="shared" si="104"/>
        <v>point</v>
      </c>
      <c r="M404" s="23">
        <f t="shared" si="102"/>
        <v>-108909.00000000007</v>
      </c>
      <c r="N404" s="23">
        <f t="shared" si="106"/>
        <v>-5.0370637703786549</v>
      </c>
      <c r="O404" t="s">
        <v>464</v>
      </c>
      <c r="P404">
        <v>2</v>
      </c>
      <c r="Q404" t="s">
        <v>639</v>
      </c>
      <c r="S404" t="s">
        <v>645</v>
      </c>
    </row>
    <row r="405" spans="1:19" x14ac:dyDescent="0.4">
      <c r="A405" t="s">
        <v>1475</v>
      </c>
      <c r="B405" s="24">
        <v>1998</v>
      </c>
      <c r="C405" s="24">
        <v>12</v>
      </c>
      <c r="D405" s="24">
        <v>18</v>
      </c>
      <c r="E405" s="24">
        <v>3</v>
      </c>
      <c r="F405" s="24">
        <v>30</v>
      </c>
      <c r="G405" s="20">
        <f t="shared" si="105"/>
        <v>913951800.00000024</v>
      </c>
      <c r="J405" t="s">
        <v>656</v>
      </c>
      <c r="K405" s="22" t="str">
        <f t="shared" si="104"/>
        <v>point</v>
      </c>
      <c r="M405" s="23">
        <f t="shared" si="102"/>
        <v>-108903.49999999993</v>
      </c>
      <c r="N405" s="23">
        <f t="shared" si="106"/>
        <v>-5.0370418375726764</v>
      </c>
      <c r="O405" t="s">
        <v>464</v>
      </c>
      <c r="P405">
        <v>2</v>
      </c>
      <c r="Q405" t="s">
        <v>640</v>
      </c>
      <c r="S405" t="s">
        <v>645</v>
      </c>
    </row>
    <row r="406" spans="1:19" x14ac:dyDescent="0.4">
      <c r="A406" t="s">
        <v>1475</v>
      </c>
      <c r="B406" s="24">
        <v>1998</v>
      </c>
      <c r="C406" s="24">
        <v>12</v>
      </c>
      <c r="D406" s="24">
        <v>18</v>
      </c>
      <c r="E406" s="24">
        <v>9</v>
      </c>
      <c r="F406" s="24">
        <v>20</v>
      </c>
      <c r="G406" s="20">
        <f t="shared" si="105"/>
        <v>913972800.00000012</v>
      </c>
      <c r="J406" t="s">
        <v>656</v>
      </c>
      <c r="K406" s="22" t="str">
        <f t="shared" si="104"/>
        <v>point</v>
      </c>
      <c r="M406" s="23">
        <f t="shared" si="102"/>
        <v>-108897.66666666663</v>
      </c>
      <c r="N406" s="23">
        <f t="shared" si="106"/>
        <v>-5.0370185742952831</v>
      </c>
      <c r="O406" t="s">
        <v>464</v>
      </c>
      <c r="P406">
        <v>4</v>
      </c>
      <c r="Q406" t="s">
        <v>641</v>
      </c>
      <c r="R406" t="s">
        <v>636</v>
      </c>
      <c r="S406" t="s">
        <v>645</v>
      </c>
    </row>
    <row r="407" spans="1:19" x14ac:dyDescent="0.4">
      <c r="A407" t="s">
        <v>1475</v>
      </c>
      <c r="B407" s="24">
        <v>1998</v>
      </c>
      <c r="C407" s="24">
        <v>12</v>
      </c>
      <c r="D407" s="24">
        <v>18</v>
      </c>
      <c r="E407" s="24">
        <v>9</v>
      </c>
      <c r="F407" s="24">
        <v>30</v>
      </c>
      <c r="G407" s="20">
        <f t="shared" si="105"/>
        <v>913973400.00000024</v>
      </c>
      <c r="H407" s="20">
        <v>14.5</v>
      </c>
      <c r="J407" t="s">
        <v>656</v>
      </c>
      <c r="K407" s="22" t="str">
        <f t="shared" si="104"/>
        <v>span</v>
      </c>
      <c r="M407" s="23">
        <f t="shared" si="102"/>
        <v>-108897.49999999993</v>
      </c>
      <c r="N407" s="23">
        <f t="shared" si="106"/>
        <v>-5.0370179096119045</v>
      </c>
      <c r="O407" t="s">
        <v>462</v>
      </c>
      <c r="P407">
        <v>4</v>
      </c>
      <c r="Q407" t="s">
        <v>637</v>
      </c>
      <c r="S407" t="s">
        <v>645</v>
      </c>
    </row>
    <row r="408" spans="1:19" x14ac:dyDescent="0.4">
      <c r="A408" t="s">
        <v>1475</v>
      </c>
      <c r="B408" s="24">
        <v>1998</v>
      </c>
      <c r="C408" s="24">
        <v>12</v>
      </c>
      <c r="D408" s="24">
        <v>19</v>
      </c>
      <c r="G408" s="20">
        <f t="shared" si="105"/>
        <v>914068800</v>
      </c>
      <c r="J408" t="s">
        <v>656</v>
      </c>
      <c r="K408" s="22" t="str">
        <f t="shared" si="104"/>
        <v>point</v>
      </c>
      <c r="M408" s="23">
        <f t="shared" si="102"/>
        <v>-108871</v>
      </c>
      <c r="N408" s="23">
        <f t="shared" si="106"/>
        <v>-5.0369122120125986</v>
      </c>
      <c r="O408" t="s">
        <v>462</v>
      </c>
      <c r="P408">
        <v>4</v>
      </c>
      <c r="Q408" t="s">
        <v>642</v>
      </c>
      <c r="S408" t="s">
        <v>645</v>
      </c>
    </row>
    <row r="409" spans="1:19" x14ac:dyDescent="0.4">
      <c r="A409" t="s">
        <v>1475</v>
      </c>
      <c r="B409" s="24">
        <v>1998</v>
      </c>
      <c r="C409" s="24">
        <v>12</v>
      </c>
      <c r="D409" s="24">
        <v>20</v>
      </c>
      <c r="E409" s="24">
        <v>10</v>
      </c>
      <c r="F409" s="24">
        <v>45</v>
      </c>
      <c r="G409" s="20">
        <f t="shared" si="105"/>
        <v>914150699.99999976</v>
      </c>
      <c r="H409" s="20">
        <v>1.5</v>
      </c>
      <c r="J409" t="s">
        <v>656</v>
      </c>
      <c r="K409" s="22" t="str">
        <f t="shared" si="104"/>
        <v>span</v>
      </c>
      <c r="M409" s="23">
        <f t="shared" si="102"/>
        <v>-108848.25000000007</v>
      </c>
      <c r="N409" s="23">
        <f t="shared" si="106"/>
        <v>-5.0368214510945881</v>
      </c>
      <c r="O409" t="s">
        <v>462</v>
      </c>
      <c r="P409">
        <v>4</v>
      </c>
      <c r="Q409" t="s">
        <v>643</v>
      </c>
      <c r="S409" t="s">
        <v>645</v>
      </c>
    </row>
    <row r="410" spans="1:19" x14ac:dyDescent="0.4">
      <c r="A410" t="s">
        <v>1475</v>
      </c>
      <c r="B410" s="24">
        <v>1998</v>
      </c>
      <c r="C410" s="24">
        <v>12</v>
      </c>
      <c r="D410" s="24">
        <v>27</v>
      </c>
      <c r="E410" s="24">
        <v>11</v>
      </c>
      <c r="F410" s="24">
        <v>24</v>
      </c>
      <c r="G410" s="20">
        <f t="shared" si="105"/>
        <v>914757839.99999988</v>
      </c>
      <c r="H410" s="20">
        <v>1</v>
      </c>
      <c r="J410" t="s">
        <v>656</v>
      </c>
      <c r="K410" s="22" t="str">
        <f t="shared" si="104"/>
        <v>span</v>
      </c>
      <c r="M410" s="23">
        <f t="shared" si="102"/>
        <v>-108679.60000000003</v>
      </c>
      <c r="N410" s="23">
        <f t="shared" si="106"/>
        <v>-5.0361480313090441</v>
      </c>
      <c r="O410" t="s">
        <v>462</v>
      </c>
      <c r="P410">
        <v>3</v>
      </c>
      <c r="Q410" t="s">
        <v>597</v>
      </c>
      <c r="S410" t="s">
        <v>645</v>
      </c>
    </row>
    <row r="411" spans="1:19" x14ac:dyDescent="0.4">
      <c r="A411" t="s">
        <v>1475</v>
      </c>
      <c r="B411" s="24">
        <v>1998</v>
      </c>
      <c r="C411" s="24">
        <v>12</v>
      </c>
      <c r="D411" s="24">
        <v>28</v>
      </c>
      <c r="E411" s="24">
        <v>10</v>
      </c>
      <c r="F411" s="24">
        <v>50</v>
      </c>
      <c r="G411" s="20">
        <f t="shared" si="105"/>
        <v>914842200.00000012</v>
      </c>
      <c r="H411" s="20">
        <v>3</v>
      </c>
      <c r="J411" t="s">
        <v>656</v>
      </c>
      <c r="K411" s="22" t="str">
        <f t="shared" si="104"/>
        <v>span</v>
      </c>
      <c r="M411" s="23">
        <f t="shared" si="102"/>
        <v>-108656.16666666663</v>
      </c>
      <c r="N411" s="23">
        <f t="shared" si="106"/>
        <v>-5.0360543792833807</v>
      </c>
      <c r="O411" t="s">
        <v>464</v>
      </c>
      <c r="P411">
        <v>2</v>
      </c>
      <c r="Q411" t="s">
        <v>598</v>
      </c>
      <c r="S411" t="s">
        <v>645</v>
      </c>
    </row>
    <row r="412" spans="1:19" x14ac:dyDescent="0.4">
      <c r="A412" t="s">
        <v>1475</v>
      </c>
      <c r="B412" s="24">
        <v>2003</v>
      </c>
      <c r="G412" s="20">
        <f t="shared" si="105"/>
        <v>1057017600</v>
      </c>
      <c r="J412" t="s">
        <v>656</v>
      </c>
      <c r="K412" s="22" t="str">
        <f t="shared" si="104"/>
        <v>point</v>
      </c>
      <c r="M412" s="23">
        <f t="shared" ref="M412:M424" si="107">(G412-1306004400)/3600</f>
        <v>-69163</v>
      </c>
      <c r="N412" s="23">
        <f t="shared" si="106"/>
        <v>-4.8398738228781788</v>
      </c>
      <c r="O412" t="s">
        <v>464</v>
      </c>
      <c r="P412">
        <v>1</v>
      </c>
      <c r="Q412" t="s">
        <v>646</v>
      </c>
      <c r="S412" t="s">
        <v>653</v>
      </c>
    </row>
    <row r="413" spans="1:19" x14ac:dyDescent="0.4">
      <c r="A413" t="s">
        <v>1475</v>
      </c>
      <c r="B413" s="24">
        <v>2004</v>
      </c>
      <c r="C413" s="24">
        <v>10</v>
      </c>
      <c r="D413" s="24">
        <v>20</v>
      </c>
      <c r="G413" s="20">
        <f t="shared" si="105"/>
        <v>1098273600</v>
      </c>
      <c r="J413" t="s">
        <v>656</v>
      </c>
      <c r="K413" s="22" t="str">
        <f t="shared" si="104"/>
        <v>point</v>
      </c>
      <c r="M413" s="23">
        <f t="shared" si="107"/>
        <v>-57703</v>
      </c>
      <c r="N413" s="23">
        <f t="shared" si="106"/>
        <v>-4.7611983928710941</v>
      </c>
      <c r="O413" t="s">
        <v>464</v>
      </c>
      <c r="P413">
        <v>1</v>
      </c>
      <c r="Q413" t="s">
        <v>647</v>
      </c>
      <c r="S413" t="s">
        <v>653</v>
      </c>
    </row>
    <row r="414" spans="1:19" x14ac:dyDescent="0.4">
      <c r="A414" t="s">
        <v>1475</v>
      </c>
      <c r="B414" s="24">
        <v>2004</v>
      </c>
      <c r="C414" s="24">
        <v>10</v>
      </c>
      <c r="D414" s="24">
        <v>26</v>
      </c>
      <c r="G414" s="20">
        <f t="shared" si="105"/>
        <v>1098792000</v>
      </c>
      <c r="J414" t="s">
        <v>656</v>
      </c>
      <c r="K414" s="22" t="str">
        <f t="shared" si="104"/>
        <v>point</v>
      </c>
      <c r="M414" s="23">
        <f t="shared" si="107"/>
        <v>-57559</v>
      </c>
      <c r="N414" s="23">
        <f t="shared" si="106"/>
        <v>-4.7601132401246353</v>
      </c>
      <c r="O414" t="s">
        <v>464</v>
      </c>
      <c r="P414">
        <v>2</v>
      </c>
      <c r="Q414" t="s">
        <v>648</v>
      </c>
      <c r="R414" t="s">
        <v>649</v>
      </c>
      <c r="S414" t="s">
        <v>653</v>
      </c>
    </row>
    <row r="415" spans="1:19" x14ac:dyDescent="0.4">
      <c r="A415" t="s">
        <v>1475</v>
      </c>
      <c r="B415" s="24">
        <v>2004</v>
      </c>
      <c r="C415" s="24">
        <v>10</v>
      </c>
      <c r="D415" s="24">
        <v>29</v>
      </c>
      <c r="G415" s="20">
        <f t="shared" si="105"/>
        <v>1099051200</v>
      </c>
      <c r="H415" s="20">
        <f>3*24</f>
        <v>72</v>
      </c>
      <c r="J415" t="s">
        <v>656</v>
      </c>
      <c r="K415" s="22" t="str">
        <f t="shared" si="104"/>
        <v>span</v>
      </c>
      <c r="M415" s="23">
        <f t="shared" si="107"/>
        <v>-57487</v>
      </c>
      <c r="N415" s="23">
        <f t="shared" si="106"/>
        <v>-4.7595696452707603</v>
      </c>
      <c r="O415" t="s">
        <v>666</v>
      </c>
      <c r="P415">
        <v>2</v>
      </c>
      <c r="Q415" t="s">
        <v>650</v>
      </c>
      <c r="S415" t="s">
        <v>653</v>
      </c>
    </row>
    <row r="416" spans="1:19" x14ac:dyDescent="0.4">
      <c r="A416" t="s">
        <v>1475</v>
      </c>
      <c r="B416" s="24">
        <v>2004</v>
      </c>
      <c r="C416" s="24">
        <v>11</v>
      </c>
      <c r="D416" s="24">
        <v>1</v>
      </c>
      <c r="E416" s="24">
        <v>18</v>
      </c>
      <c r="F416" s="24">
        <v>0</v>
      </c>
      <c r="G416" s="20">
        <f t="shared" si="105"/>
        <v>1099332000</v>
      </c>
      <c r="J416" t="s">
        <v>656</v>
      </c>
      <c r="K416" s="22" t="str">
        <f t="shared" si="104"/>
        <v>point</v>
      </c>
      <c r="M416" s="23">
        <f t="shared" si="107"/>
        <v>-57409</v>
      </c>
      <c r="N416" s="23">
        <f t="shared" si="106"/>
        <v>-4.7589799820136856</v>
      </c>
      <c r="O416" t="s">
        <v>464</v>
      </c>
      <c r="P416">
        <v>2</v>
      </c>
      <c r="Q416" t="s">
        <v>651</v>
      </c>
      <c r="S416" t="s">
        <v>653</v>
      </c>
    </row>
    <row r="417" spans="1:19" x14ac:dyDescent="0.4">
      <c r="A417" t="s">
        <v>1475</v>
      </c>
      <c r="B417" s="24">
        <v>2004</v>
      </c>
      <c r="C417" s="24">
        <v>11</v>
      </c>
      <c r="D417" s="24">
        <v>1</v>
      </c>
      <c r="E417" s="24">
        <v>21</v>
      </c>
      <c r="F417" s="24">
        <v>0</v>
      </c>
      <c r="G417" s="20">
        <f t="shared" si="105"/>
        <v>1099342800</v>
      </c>
      <c r="J417" t="s">
        <v>656</v>
      </c>
      <c r="K417" s="22" t="str">
        <f t="shared" si="104"/>
        <v>point</v>
      </c>
      <c r="M417" s="23">
        <f t="shared" si="107"/>
        <v>-57406</v>
      </c>
      <c r="N417" s="23">
        <f t="shared" si="106"/>
        <v>-4.7589572866612313</v>
      </c>
      <c r="O417" t="s">
        <v>464</v>
      </c>
      <c r="P417">
        <v>4</v>
      </c>
      <c r="Q417" t="s">
        <v>641</v>
      </c>
      <c r="R417" t="s">
        <v>636</v>
      </c>
      <c r="S417" t="s">
        <v>653</v>
      </c>
    </row>
    <row r="418" spans="1:19" x14ac:dyDescent="0.4">
      <c r="A418" t="s">
        <v>1475</v>
      </c>
      <c r="B418" s="24">
        <v>2004</v>
      </c>
      <c r="C418" s="24">
        <v>11</v>
      </c>
      <c r="D418" s="24">
        <v>2</v>
      </c>
      <c r="E418" s="24">
        <v>0</v>
      </c>
      <c r="F418" s="24">
        <v>0</v>
      </c>
      <c r="G418" s="20">
        <f t="shared" si="105"/>
        <v>1099353600</v>
      </c>
      <c r="H418" s="20">
        <v>48</v>
      </c>
      <c r="J418" t="s">
        <v>656</v>
      </c>
      <c r="K418" s="22" t="str">
        <f t="shared" si="104"/>
        <v>span</v>
      </c>
      <c r="M418" s="23">
        <f t="shared" si="107"/>
        <v>-57403</v>
      </c>
      <c r="N418" s="23">
        <f t="shared" si="106"/>
        <v>-4.7589345901227018</v>
      </c>
      <c r="O418" t="s">
        <v>462</v>
      </c>
      <c r="P418">
        <v>4</v>
      </c>
      <c r="Q418" t="s">
        <v>654</v>
      </c>
      <c r="R418" t="s">
        <v>652</v>
      </c>
      <c r="S418" t="s">
        <v>653</v>
      </c>
    </row>
    <row r="419" spans="1:19" x14ac:dyDescent="0.4">
      <c r="A419" t="s">
        <v>1475</v>
      </c>
      <c r="B419" s="24">
        <v>2004</v>
      </c>
      <c r="C419" s="24">
        <v>11</v>
      </c>
      <c r="D419" s="24">
        <v>2</v>
      </c>
      <c r="E419" s="24">
        <v>8</v>
      </c>
      <c r="F419" s="24">
        <v>0</v>
      </c>
      <c r="G419" s="20">
        <f t="shared" si="105"/>
        <v>1099382400.0000002</v>
      </c>
      <c r="J419" t="s">
        <v>655</v>
      </c>
      <c r="K419" s="22" t="str">
        <f t="shared" si="104"/>
        <v>point</v>
      </c>
      <c r="M419" s="23">
        <f t="shared" si="107"/>
        <v>-57394.999999999935</v>
      </c>
      <c r="N419" s="23">
        <f t="shared" si="106"/>
        <v>-4.7588740602204238</v>
      </c>
      <c r="O419" t="s">
        <v>462</v>
      </c>
      <c r="P419">
        <v>4</v>
      </c>
      <c r="Q419" t="s">
        <v>657</v>
      </c>
      <c r="S419" t="s">
        <v>653</v>
      </c>
    </row>
    <row r="420" spans="1:19" x14ac:dyDescent="0.4">
      <c r="A420" t="s">
        <v>1475</v>
      </c>
      <c r="B420" s="24">
        <v>2004</v>
      </c>
      <c r="C420" s="24">
        <v>11</v>
      </c>
      <c r="D420" s="24">
        <v>5</v>
      </c>
      <c r="G420" s="20">
        <f t="shared" si="105"/>
        <v>1099656000</v>
      </c>
      <c r="J420" t="s">
        <v>656</v>
      </c>
      <c r="K420" s="22" t="str">
        <f t="shared" si="104"/>
        <v>point</v>
      </c>
      <c r="M420" s="23">
        <f t="shared" si="107"/>
        <v>-57319</v>
      </c>
      <c r="N420" s="23">
        <f t="shared" si="106"/>
        <v>-4.7582986049934455</v>
      </c>
      <c r="O420" t="s">
        <v>462</v>
      </c>
      <c r="P420">
        <v>3</v>
      </c>
      <c r="Q420" t="s">
        <v>660</v>
      </c>
      <c r="S420" t="s">
        <v>653</v>
      </c>
    </row>
    <row r="421" spans="1:19" x14ac:dyDescent="0.4">
      <c r="A421" t="s">
        <v>1475</v>
      </c>
      <c r="B421" s="24">
        <v>2004</v>
      </c>
      <c r="C421" s="24">
        <v>11</v>
      </c>
      <c r="D421" s="24">
        <v>9</v>
      </c>
      <c r="E421" s="24">
        <v>6</v>
      </c>
      <c r="F421" s="24">
        <v>30</v>
      </c>
      <c r="G421" s="20">
        <f t="shared" si="105"/>
        <v>1099981800.0000002</v>
      </c>
      <c r="H421" s="20">
        <v>7</v>
      </c>
      <c r="J421" t="s">
        <v>656</v>
      </c>
      <c r="K421" s="22" t="str">
        <f t="shared" si="104"/>
        <v>span</v>
      </c>
      <c r="M421" s="23">
        <f t="shared" si="107"/>
        <v>-57228.499999999935</v>
      </c>
      <c r="N421" s="23">
        <f t="shared" si="106"/>
        <v>-4.7576123628879419</v>
      </c>
      <c r="O421" t="s">
        <v>464</v>
      </c>
      <c r="P421">
        <v>2</v>
      </c>
      <c r="Q421" t="s">
        <v>658</v>
      </c>
      <c r="S421" t="s">
        <v>653</v>
      </c>
    </row>
    <row r="422" spans="1:19" x14ac:dyDescent="0.4">
      <c r="A422" t="s">
        <v>1475</v>
      </c>
      <c r="B422" s="24">
        <v>2004</v>
      </c>
      <c r="C422" s="24">
        <v>11</v>
      </c>
      <c r="D422" s="24">
        <v>11</v>
      </c>
      <c r="E422" s="24">
        <v>9</v>
      </c>
      <c r="F422" s="24">
        <v>0</v>
      </c>
      <c r="G422" s="20">
        <f t="shared" si="105"/>
        <v>1100163600</v>
      </c>
      <c r="H422" s="20">
        <v>2</v>
      </c>
      <c r="J422" t="s">
        <v>656</v>
      </c>
      <c r="K422" s="22" t="str">
        <f t="shared" si="104"/>
        <v>span</v>
      </c>
      <c r="M422" s="23">
        <f t="shared" si="107"/>
        <v>-57178</v>
      </c>
      <c r="N422" s="23">
        <f t="shared" si="106"/>
        <v>-4.7572289603232187</v>
      </c>
      <c r="O422" t="s">
        <v>666</v>
      </c>
      <c r="P422">
        <v>2</v>
      </c>
      <c r="Q422" t="s">
        <v>659</v>
      </c>
      <c r="S422" t="s">
        <v>653</v>
      </c>
    </row>
    <row r="423" spans="1:19" x14ac:dyDescent="0.4">
      <c r="A423" t="s">
        <v>1475</v>
      </c>
      <c r="B423" s="24">
        <v>2010</v>
      </c>
      <c r="C423" s="24">
        <v>10</v>
      </c>
      <c r="D423" s="24">
        <v>31</v>
      </c>
      <c r="G423" s="20">
        <f t="shared" si="105"/>
        <v>1288526400</v>
      </c>
      <c r="J423" t="s">
        <v>656</v>
      </c>
      <c r="K423" s="22" t="str">
        <f t="shared" si="104"/>
        <v>point</v>
      </c>
      <c r="M423" s="23">
        <f t="shared" si="107"/>
        <v>-4855</v>
      </c>
      <c r="N423" s="23">
        <f t="shared" si="106"/>
        <v>-3.6861892342440234</v>
      </c>
      <c r="O423" t="s">
        <v>666</v>
      </c>
      <c r="P423">
        <v>2</v>
      </c>
      <c r="Q423" t="s">
        <v>633</v>
      </c>
      <c r="S423" t="s">
        <v>595</v>
      </c>
    </row>
    <row r="424" spans="1:19" x14ac:dyDescent="0.4">
      <c r="A424" t="s">
        <v>1475</v>
      </c>
      <c r="B424" s="24">
        <v>2011</v>
      </c>
      <c r="C424" s="24">
        <v>5</v>
      </c>
      <c r="D424" s="24">
        <v>21</v>
      </c>
      <c r="E424" s="24">
        <v>17</v>
      </c>
      <c r="F424" s="24">
        <v>50</v>
      </c>
      <c r="G424" s="20">
        <f t="shared" si="105"/>
        <v>1306000200</v>
      </c>
      <c r="H424" s="20">
        <v>1</v>
      </c>
      <c r="J424" t="s">
        <v>560</v>
      </c>
      <c r="K424" s="22" t="str">
        <f t="shared" si="104"/>
        <v>span</v>
      </c>
      <c r="M424" s="23">
        <f t="shared" si="107"/>
        <v>-1.1666666666666667</v>
      </c>
      <c r="N424" s="23">
        <f t="shared" si="106"/>
        <v>-6.6946789630613221E-2</v>
      </c>
      <c r="O424" t="s">
        <v>464</v>
      </c>
      <c r="P424">
        <v>2</v>
      </c>
      <c r="Q424" t="s">
        <v>592</v>
      </c>
      <c r="S424" t="s">
        <v>595</v>
      </c>
    </row>
    <row r="425" spans="1:19" x14ac:dyDescent="0.4">
      <c r="A425" t="s">
        <v>1475</v>
      </c>
      <c r="B425" s="24">
        <v>2011</v>
      </c>
      <c r="C425" s="24">
        <v>5</v>
      </c>
      <c r="D425" s="24">
        <v>21</v>
      </c>
      <c r="E425" s="24">
        <v>19</v>
      </c>
      <c r="F425" s="24">
        <v>0</v>
      </c>
      <c r="G425" s="20">
        <f t="shared" si="105"/>
        <v>1306004399.9999998</v>
      </c>
      <c r="J425" t="s">
        <v>560</v>
      </c>
      <c r="K425" s="22" t="str">
        <f t="shared" si="104"/>
        <v>point</v>
      </c>
      <c r="L425" s="20" t="s">
        <v>670</v>
      </c>
      <c r="M425" s="23">
        <f>(G425-1306004400)/3600</f>
        <v>-6.6227383083767361E-11</v>
      </c>
      <c r="N425" s="23">
        <f t="shared" si="106"/>
        <v>10.178962405374874</v>
      </c>
      <c r="O425" t="s">
        <v>464</v>
      </c>
      <c r="P425">
        <v>4</v>
      </c>
      <c r="Q425" t="s">
        <v>593</v>
      </c>
      <c r="S425" t="s">
        <v>595</v>
      </c>
    </row>
    <row r="426" spans="1:19" x14ac:dyDescent="0.4">
      <c r="A426" t="s">
        <v>1475</v>
      </c>
      <c r="B426" s="24">
        <v>2011</v>
      </c>
      <c r="C426" s="24">
        <v>5</v>
      </c>
      <c r="D426" s="24">
        <v>21</v>
      </c>
      <c r="E426" s="24">
        <v>21</v>
      </c>
      <c r="F426" s="24">
        <v>0</v>
      </c>
      <c r="G426" s="20">
        <f t="shared" si="105"/>
        <v>1306011600</v>
      </c>
      <c r="H426" s="20">
        <v>30</v>
      </c>
      <c r="J426" t="s">
        <v>560</v>
      </c>
      <c r="K426" s="22" t="str">
        <f t="shared" si="104"/>
        <v>span</v>
      </c>
      <c r="L426" s="20" t="s">
        <v>671</v>
      </c>
      <c r="M426" s="23">
        <f t="shared" ref="M426:M431" si="108">(G426-1306004400)/3600</f>
        <v>2</v>
      </c>
      <c r="N426" s="23">
        <f t="shared" si="106"/>
        <v>0.3010299956639812</v>
      </c>
      <c r="O426" t="s">
        <v>462</v>
      </c>
      <c r="P426">
        <v>6</v>
      </c>
      <c r="Q426" t="s">
        <v>594</v>
      </c>
      <c r="S426" t="s">
        <v>596</v>
      </c>
    </row>
    <row r="427" spans="1:19" x14ac:dyDescent="0.4">
      <c r="A427" t="s">
        <v>1475</v>
      </c>
      <c r="B427" s="24">
        <v>2011</v>
      </c>
      <c r="C427" s="24">
        <v>5</v>
      </c>
      <c r="D427" s="24">
        <v>23</v>
      </c>
      <c r="E427" s="24">
        <v>3</v>
      </c>
      <c r="F427" s="24">
        <v>0</v>
      </c>
      <c r="G427" s="20">
        <f t="shared" si="105"/>
        <v>1306119600</v>
      </c>
      <c r="J427" t="s">
        <v>560</v>
      </c>
      <c r="K427" s="22" t="str">
        <f t="shared" si="104"/>
        <v>point</v>
      </c>
      <c r="M427" s="23">
        <f t="shared" si="108"/>
        <v>32</v>
      </c>
      <c r="N427" s="23">
        <f t="shared" si="106"/>
        <v>1.505149978319906</v>
      </c>
      <c r="O427" t="s">
        <v>462</v>
      </c>
      <c r="P427">
        <v>4</v>
      </c>
      <c r="Q427" t="s">
        <v>663</v>
      </c>
      <c r="S427" t="s">
        <v>504</v>
      </c>
    </row>
    <row r="428" spans="1:19" x14ac:dyDescent="0.4">
      <c r="A428" t="s">
        <v>1475</v>
      </c>
      <c r="B428" s="24">
        <v>2011</v>
      </c>
      <c r="C428" s="24">
        <v>5</v>
      </c>
      <c r="D428" s="24">
        <v>25</v>
      </c>
      <c r="G428" s="20">
        <f t="shared" si="105"/>
        <v>1306324800</v>
      </c>
      <c r="J428" t="s">
        <v>656</v>
      </c>
      <c r="K428" s="22" t="str">
        <f t="shared" si="104"/>
        <v>point</v>
      </c>
      <c r="M428" s="23">
        <f t="shared" si="108"/>
        <v>89</v>
      </c>
      <c r="N428" s="23">
        <f t="shared" si="106"/>
        <v>1.9493900066449128</v>
      </c>
      <c r="O428" t="s">
        <v>462</v>
      </c>
      <c r="P428">
        <v>4</v>
      </c>
      <c r="Q428" t="s">
        <v>661</v>
      </c>
      <c r="S428" t="s">
        <v>504</v>
      </c>
    </row>
    <row r="429" spans="1:19" x14ac:dyDescent="0.4">
      <c r="A429" t="s">
        <v>1475</v>
      </c>
      <c r="B429" s="24">
        <v>2011</v>
      </c>
      <c r="C429" s="24">
        <v>5</v>
      </c>
      <c r="D429" s="24">
        <v>26</v>
      </c>
      <c r="G429" s="20">
        <f t="shared" si="105"/>
        <v>1306411200</v>
      </c>
      <c r="J429" t="s">
        <v>656</v>
      </c>
      <c r="K429" s="22" t="str">
        <f t="shared" si="104"/>
        <v>point</v>
      </c>
      <c r="M429" s="23">
        <f t="shared" si="108"/>
        <v>113</v>
      </c>
      <c r="N429" s="23">
        <f t="shared" si="106"/>
        <v>2.0530784434834195</v>
      </c>
      <c r="O429" t="s">
        <v>462</v>
      </c>
      <c r="P429">
        <v>4</v>
      </c>
      <c r="Q429" t="s">
        <v>662</v>
      </c>
      <c r="S429" t="s">
        <v>504</v>
      </c>
    </row>
    <row r="430" spans="1:19" x14ac:dyDescent="0.4">
      <c r="A430" t="s">
        <v>1475</v>
      </c>
      <c r="B430" s="24">
        <v>2011</v>
      </c>
      <c r="C430" s="24">
        <v>5</v>
      </c>
      <c r="D430" s="24">
        <v>28</v>
      </c>
      <c r="E430" s="24">
        <v>7</v>
      </c>
      <c r="F430" s="24">
        <v>0</v>
      </c>
      <c r="G430" s="20">
        <f t="shared" si="105"/>
        <v>1306565999.9999998</v>
      </c>
      <c r="J430" t="s">
        <v>655</v>
      </c>
      <c r="K430" s="22" t="str">
        <f t="shared" si="104"/>
        <v>point</v>
      </c>
      <c r="L430" s="20" t="s">
        <v>672</v>
      </c>
      <c r="M430" s="23">
        <f t="shared" si="108"/>
        <v>155.99999999993378</v>
      </c>
      <c r="N430" s="23">
        <f t="shared" si="106"/>
        <v>2.1931245983542773</v>
      </c>
      <c r="O430" t="s">
        <v>464</v>
      </c>
      <c r="P430">
        <v>0</v>
      </c>
      <c r="Q430" t="s">
        <v>665</v>
      </c>
      <c r="R430" t="s">
        <v>664</v>
      </c>
      <c r="S430" t="s">
        <v>595</v>
      </c>
    </row>
    <row r="431" spans="1:19" x14ac:dyDescent="0.4">
      <c r="A431" t="s">
        <v>1475</v>
      </c>
      <c r="B431" s="24">
        <v>2011</v>
      </c>
      <c r="C431" s="24">
        <v>5</v>
      </c>
      <c r="D431" s="24">
        <v>30</v>
      </c>
      <c r="G431" s="20">
        <f t="shared" si="105"/>
        <v>1306756800</v>
      </c>
      <c r="J431" t="s">
        <v>656</v>
      </c>
      <c r="K431" s="22" t="str">
        <f t="shared" si="104"/>
        <v>point</v>
      </c>
      <c r="M431" s="23">
        <f t="shared" si="108"/>
        <v>209</v>
      </c>
      <c r="N431" s="23">
        <f t="shared" si="106"/>
        <v>2.3201462861110542</v>
      </c>
      <c r="O431" t="s">
        <v>462</v>
      </c>
      <c r="P431">
        <v>0</v>
      </c>
      <c r="Q431" t="s">
        <v>668</v>
      </c>
      <c r="S431" t="s">
        <v>504</v>
      </c>
    </row>
    <row r="432" spans="1:19" x14ac:dyDescent="0.4">
      <c r="A432" t="s">
        <v>1476</v>
      </c>
      <c r="B432" s="24">
        <v>1511</v>
      </c>
      <c r="C432" s="24">
        <v>8</v>
      </c>
      <c r="G432" s="20">
        <f t="shared" si="105"/>
        <v>45493142400</v>
      </c>
      <c r="J432" t="s">
        <v>656</v>
      </c>
      <c r="K432" s="22" t="str">
        <f t="shared" ref="K432" si="109">IF(H432="",IF(I432="","point","middle"),"span")</f>
        <v>point</v>
      </c>
      <c r="M432" s="23">
        <f t="shared" ref="M432:M441" si="110">(G432-51688922400)/3600</f>
        <v>-1721050</v>
      </c>
      <c r="N432" s="23">
        <f t="shared" ref="N432" si="111">IF(M432=0,0, IF(M432&gt;0,LOG10(M432), -LOG10(-1*M432)))</f>
        <v>-6.2357934876481087</v>
      </c>
      <c r="O432" t="s">
        <v>462</v>
      </c>
      <c r="P432">
        <v>4</v>
      </c>
      <c r="Q432" t="s">
        <v>952</v>
      </c>
      <c r="S432" t="s">
        <v>953</v>
      </c>
    </row>
    <row r="433" spans="1:19" x14ac:dyDescent="0.4">
      <c r="A433" t="s">
        <v>1476</v>
      </c>
      <c r="B433" s="24">
        <v>1703</v>
      </c>
      <c r="C433" s="24">
        <v>12</v>
      </c>
      <c r="D433" s="24">
        <v>31</v>
      </c>
      <c r="G433" s="20">
        <f t="shared" si="105"/>
        <v>51563995200</v>
      </c>
      <c r="J433" t="s">
        <v>656</v>
      </c>
      <c r="K433" s="22" t="str">
        <f t="shared" si="104"/>
        <v>point</v>
      </c>
      <c r="M433" s="23">
        <f t="shared" si="110"/>
        <v>-34702</v>
      </c>
      <c r="N433" s="23">
        <f t="shared" si="106"/>
        <v>-4.540354505451778</v>
      </c>
      <c r="O433" t="s">
        <v>464</v>
      </c>
      <c r="P433">
        <v>-1</v>
      </c>
      <c r="Q433" t="s">
        <v>673</v>
      </c>
      <c r="S433" t="s">
        <v>692</v>
      </c>
    </row>
    <row r="434" spans="1:19" x14ac:dyDescent="0.4">
      <c r="A434" t="s">
        <v>1476</v>
      </c>
      <c r="B434" s="24">
        <v>1704</v>
      </c>
      <c r="C434" s="24">
        <v>2</v>
      </c>
      <c r="D434" s="24">
        <v>4</v>
      </c>
      <c r="G434" s="20">
        <f t="shared" si="105"/>
        <v>51567019200</v>
      </c>
      <c r="J434" t="s">
        <v>656</v>
      </c>
      <c r="K434" s="22" t="str">
        <f t="shared" si="104"/>
        <v>point</v>
      </c>
      <c r="M434" s="23">
        <f t="shared" si="110"/>
        <v>-33862</v>
      </c>
      <c r="N434" s="23">
        <f t="shared" si="106"/>
        <v>-4.5297126053769468</v>
      </c>
      <c r="O434" t="s">
        <v>464</v>
      </c>
      <c r="P434">
        <v>2</v>
      </c>
      <c r="Q434" t="s">
        <v>674</v>
      </c>
      <c r="R434" t="s">
        <v>675</v>
      </c>
      <c r="S434" t="s">
        <v>692</v>
      </c>
    </row>
    <row r="435" spans="1:19" x14ac:dyDescent="0.4">
      <c r="A435" t="s">
        <v>1476</v>
      </c>
      <c r="B435" s="24">
        <v>1704</v>
      </c>
      <c r="C435" s="24">
        <v>2</v>
      </c>
      <c r="D435" s="24">
        <v>6</v>
      </c>
      <c r="G435" s="20">
        <f t="shared" si="105"/>
        <v>51567192000</v>
      </c>
      <c r="H435" s="20">
        <v>24</v>
      </c>
      <c r="J435" t="s">
        <v>656</v>
      </c>
      <c r="K435" s="22" t="str">
        <f t="shared" si="104"/>
        <v>span</v>
      </c>
      <c r="M435" s="23">
        <f t="shared" si="110"/>
        <v>-33814</v>
      </c>
      <c r="N435" s="23">
        <f t="shared" si="106"/>
        <v>-4.5290965483219514</v>
      </c>
      <c r="O435" t="s">
        <v>464</v>
      </c>
      <c r="P435">
        <v>2</v>
      </c>
      <c r="Q435" t="s">
        <v>674</v>
      </c>
      <c r="R435" t="s">
        <v>675</v>
      </c>
      <c r="S435" t="s">
        <v>692</v>
      </c>
    </row>
    <row r="436" spans="1:19" x14ac:dyDescent="0.4">
      <c r="A436" t="s">
        <v>1476</v>
      </c>
      <c r="B436" s="24">
        <v>1707</v>
      </c>
      <c r="C436" s="24">
        <v>9</v>
      </c>
      <c r="G436" s="20">
        <f t="shared" si="105"/>
        <v>51681024000</v>
      </c>
      <c r="J436" t="s">
        <v>656</v>
      </c>
      <c r="K436" s="22" t="str">
        <f t="shared" si="104"/>
        <v>point</v>
      </c>
      <c r="M436" s="23">
        <f t="shared" si="110"/>
        <v>-2194</v>
      </c>
      <c r="N436" s="23">
        <f t="shared" si="106"/>
        <v>-3.3412366232386925</v>
      </c>
      <c r="O436" t="s">
        <v>464</v>
      </c>
      <c r="P436">
        <v>1</v>
      </c>
      <c r="Q436" t="s">
        <v>680</v>
      </c>
      <c r="S436" t="s">
        <v>692</v>
      </c>
    </row>
    <row r="437" spans="1:19" x14ac:dyDescent="0.4">
      <c r="A437" t="s">
        <v>1476</v>
      </c>
      <c r="B437" s="24">
        <v>1707</v>
      </c>
      <c r="C437" s="24">
        <v>10</v>
      </c>
      <c r="D437" s="24">
        <v>28</v>
      </c>
      <c r="E437" s="24">
        <v>14</v>
      </c>
      <c r="F437" s="24">
        <v>0</v>
      </c>
      <c r="G437" s="20">
        <f t="shared" si="105"/>
        <v>51684703200</v>
      </c>
      <c r="J437" t="s">
        <v>656</v>
      </c>
      <c r="K437" s="22" t="str">
        <f t="shared" si="104"/>
        <v>point</v>
      </c>
      <c r="M437" s="23">
        <f t="shared" si="110"/>
        <v>-1172</v>
      </c>
      <c r="N437" s="23">
        <f t="shared" si="106"/>
        <v>-3.0689276116820721</v>
      </c>
      <c r="O437" t="s">
        <v>464</v>
      </c>
      <c r="P437">
        <v>-1</v>
      </c>
      <c r="Q437" t="s">
        <v>676</v>
      </c>
      <c r="S437" t="s">
        <v>692</v>
      </c>
    </row>
    <row r="438" spans="1:19" x14ac:dyDescent="0.4">
      <c r="A438" t="s">
        <v>1476</v>
      </c>
      <c r="B438" s="24">
        <v>1707</v>
      </c>
      <c r="C438" s="24">
        <v>10</v>
      </c>
      <c r="D438" s="24">
        <v>28</v>
      </c>
      <c r="E438" s="24">
        <v>14</v>
      </c>
      <c r="G438" s="20">
        <f t="shared" si="105"/>
        <v>51684703200</v>
      </c>
      <c r="H438" s="20">
        <f>49*24</f>
        <v>1176</v>
      </c>
      <c r="J438" t="s">
        <v>656</v>
      </c>
      <c r="K438" s="22" t="str">
        <f t="shared" si="104"/>
        <v>span</v>
      </c>
      <c r="M438" s="23">
        <f t="shared" si="110"/>
        <v>-1172</v>
      </c>
      <c r="N438" s="23">
        <f t="shared" si="106"/>
        <v>-3.0689276116820721</v>
      </c>
      <c r="O438" t="s">
        <v>464</v>
      </c>
      <c r="P438">
        <v>1</v>
      </c>
      <c r="Q438" t="s">
        <v>678</v>
      </c>
      <c r="S438" t="s">
        <v>692</v>
      </c>
    </row>
    <row r="439" spans="1:19" x14ac:dyDescent="0.4">
      <c r="A439" t="s">
        <v>1476</v>
      </c>
      <c r="B439" s="24">
        <v>1707</v>
      </c>
      <c r="C439" s="24">
        <v>10</v>
      </c>
      <c r="D439" s="24">
        <v>29</v>
      </c>
      <c r="E439" s="24">
        <v>5</v>
      </c>
      <c r="G439" s="20">
        <f t="shared" si="105"/>
        <v>51684757200</v>
      </c>
      <c r="J439" t="s">
        <v>656</v>
      </c>
      <c r="K439" s="22" t="str">
        <f t="shared" si="104"/>
        <v>point</v>
      </c>
      <c r="M439" s="23">
        <f t="shared" si="110"/>
        <v>-1157</v>
      </c>
      <c r="N439" s="23">
        <f t="shared" si="106"/>
        <v>-3.0633333589517497</v>
      </c>
      <c r="O439" t="s">
        <v>464</v>
      </c>
      <c r="P439">
        <v>-1</v>
      </c>
      <c r="Q439" t="s">
        <v>677</v>
      </c>
      <c r="S439" t="s">
        <v>692</v>
      </c>
    </row>
    <row r="440" spans="1:19" x14ac:dyDescent="0.4">
      <c r="A440" t="s">
        <v>1476</v>
      </c>
      <c r="B440" s="24">
        <v>1707</v>
      </c>
      <c r="C440" s="24">
        <v>12</v>
      </c>
      <c r="D440" s="24">
        <v>3</v>
      </c>
      <c r="G440" s="20">
        <f t="shared" si="105"/>
        <v>51687806400</v>
      </c>
      <c r="J440" t="s">
        <v>656</v>
      </c>
      <c r="K440" s="22" t="str">
        <f t="shared" si="104"/>
        <v>point</v>
      </c>
      <c r="M440" s="23">
        <f t="shared" si="110"/>
        <v>-310</v>
      </c>
      <c r="N440" s="23">
        <f t="shared" si="106"/>
        <v>-2.4913616938342726</v>
      </c>
      <c r="O440" t="s">
        <v>464</v>
      </c>
      <c r="P440">
        <v>2</v>
      </c>
      <c r="Q440" t="s">
        <v>679</v>
      </c>
      <c r="S440" t="s">
        <v>692</v>
      </c>
    </row>
    <row r="441" spans="1:19" x14ac:dyDescent="0.4">
      <c r="A441" t="s">
        <v>1476</v>
      </c>
      <c r="B441" s="24">
        <v>1707</v>
      </c>
      <c r="C441" s="24">
        <v>12</v>
      </c>
      <c r="D441" s="24">
        <v>15</v>
      </c>
      <c r="E441" s="24">
        <v>12</v>
      </c>
      <c r="G441" s="20">
        <f t="shared" si="105"/>
        <v>51688843200</v>
      </c>
      <c r="H441" s="20">
        <v>24</v>
      </c>
      <c r="J441" t="s">
        <v>656</v>
      </c>
      <c r="K441" s="22" t="str">
        <f t="shared" si="104"/>
        <v>span</v>
      </c>
      <c r="M441" s="23">
        <f t="shared" si="110"/>
        <v>-22</v>
      </c>
      <c r="N441" s="23">
        <f t="shared" si="106"/>
        <v>-1.3424226808222062</v>
      </c>
      <c r="O441" t="s">
        <v>464</v>
      </c>
      <c r="P441">
        <v>2</v>
      </c>
      <c r="Q441" t="s">
        <v>681</v>
      </c>
      <c r="S441" t="s">
        <v>692</v>
      </c>
    </row>
    <row r="442" spans="1:19" x14ac:dyDescent="0.4">
      <c r="A442" t="s">
        <v>1476</v>
      </c>
      <c r="B442" s="24">
        <v>1707</v>
      </c>
      <c r="C442" s="24">
        <v>12</v>
      </c>
      <c r="D442" s="24">
        <v>16</v>
      </c>
      <c r="E442" s="24">
        <v>10</v>
      </c>
      <c r="G442" s="20">
        <f t="shared" si="105"/>
        <v>51688922400</v>
      </c>
      <c r="H442" s="20">
        <f>9*24+6</f>
        <v>222</v>
      </c>
      <c r="J442" t="s">
        <v>656</v>
      </c>
      <c r="K442" s="22" t="str">
        <f t="shared" ref="K442" si="112">IF(H442="",IF(I442="","point","middle"),"span")</f>
        <v>span</v>
      </c>
      <c r="L442" s="20" t="s">
        <v>670</v>
      </c>
      <c r="M442" s="23">
        <f>(G442-51688922400)/3600</f>
        <v>0</v>
      </c>
      <c r="N442" s="23">
        <f t="shared" si="106"/>
        <v>0</v>
      </c>
      <c r="O442" t="s">
        <v>462</v>
      </c>
      <c r="P442">
        <v>4</v>
      </c>
      <c r="Q442" t="s">
        <v>682</v>
      </c>
      <c r="S442" t="s">
        <v>692</v>
      </c>
    </row>
    <row r="443" spans="1:19" x14ac:dyDescent="0.4">
      <c r="A443" t="s">
        <v>1476</v>
      </c>
      <c r="B443" s="24">
        <v>1707</v>
      </c>
      <c r="C443" s="24">
        <v>12</v>
      </c>
      <c r="D443" s="24">
        <v>16</v>
      </c>
      <c r="E443" s="24">
        <v>10</v>
      </c>
      <c r="G443" s="20">
        <f t="shared" si="105"/>
        <v>51688922400</v>
      </c>
      <c r="H443" s="20">
        <v>72</v>
      </c>
      <c r="J443" t="s">
        <v>656</v>
      </c>
      <c r="K443" s="22" t="str">
        <f t="shared" ref="K443:K504" si="113">IF(H443="",IF(I443="","point","middle"),"span")</f>
        <v>span</v>
      </c>
      <c r="M443" s="23">
        <f t="shared" ref="M443:M456" si="114">(G443-51688922400)/3600</f>
        <v>0</v>
      </c>
      <c r="N443" s="23">
        <f t="shared" si="106"/>
        <v>0</v>
      </c>
      <c r="O443" t="s">
        <v>464</v>
      </c>
      <c r="P443">
        <v>2</v>
      </c>
      <c r="Q443" t="s">
        <v>683</v>
      </c>
      <c r="S443" t="s">
        <v>692</v>
      </c>
    </row>
    <row r="444" spans="1:19" x14ac:dyDescent="0.4">
      <c r="A444" t="s">
        <v>1476</v>
      </c>
      <c r="B444" s="24">
        <v>1707</v>
      </c>
      <c r="C444" s="24">
        <v>12</v>
      </c>
      <c r="D444" s="24">
        <v>16</v>
      </c>
      <c r="E444" s="24">
        <v>15</v>
      </c>
      <c r="G444" s="20">
        <f t="shared" si="105"/>
        <v>51688940400</v>
      </c>
      <c r="H444" s="20">
        <v>12</v>
      </c>
      <c r="J444" t="s">
        <v>656</v>
      </c>
      <c r="K444" s="22" t="str">
        <f t="shared" si="113"/>
        <v>span</v>
      </c>
      <c r="L444" s="20" t="s">
        <v>671</v>
      </c>
      <c r="M444" s="23">
        <f t="shared" si="114"/>
        <v>5</v>
      </c>
      <c r="N444" s="23">
        <f t="shared" si="106"/>
        <v>0.69897000433601886</v>
      </c>
      <c r="O444" t="s">
        <v>462</v>
      </c>
      <c r="P444">
        <v>5</v>
      </c>
      <c r="Q444" t="s">
        <v>684</v>
      </c>
      <c r="R444" t="s">
        <v>695</v>
      </c>
      <c r="S444" t="s">
        <v>692</v>
      </c>
    </row>
    <row r="445" spans="1:19" x14ac:dyDescent="0.4">
      <c r="A445" t="s">
        <v>1476</v>
      </c>
      <c r="B445" s="24">
        <v>1707</v>
      </c>
      <c r="C445" s="24">
        <v>12</v>
      </c>
      <c r="D445" s="24">
        <v>16</v>
      </c>
      <c r="E445" s="24">
        <v>16</v>
      </c>
      <c r="G445" s="20">
        <f t="shared" si="105"/>
        <v>51688944000</v>
      </c>
      <c r="J445" t="s">
        <v>656</v>
      </c>
      <c r="K445" s="22" t="str">
        <f t="shared" si="113"/>
        <v>point</v>
      </c>
      <c r="M445" s="23">
        <f t="shared" si="114"/>
        <v>6</v>
      </c>
      <c r="N445" s="23">
        <f t="shared" si="106"/>
        <v>0.77815125038364363</v>
      </c>
      <c r="O445" t="s">
        <v>462</v>
      </c>
      <c r="P445">
        <v>3</v>
      </c>
      <c r="Q445" t="s">
        <v>686</v>
      </c>
      <c r="S445" t="s">
        <v>692</v>
      </c>
    </row>
    <row r="446" spans="1:19" x14ac:dyDescent="0.4">
      <c r="A446" t="s">
        <v>1476</v>
      </c>
      <c r="B446" s="24">
        <v>1707</v>
      </c>
      <c r="C446" s="24">
        <v>12</v>
      </c>
      <c r="D446" s="24">
        <v>16</v>
      </c>
      <c r="E446" s="24">
        <v>16</v>
      </c>
      <c r="G446" s="20">
        <f t="shared" si="105"/>
        <v>51688944000</v>
      </c>
      <c r="J446" t="s">
        <v>656</v>
      </c>
      <c r="K446" s="22" t="str">
        <f t="shared" si="113"/>
        <v>point</v>
      </c>
      <c r="M446" s="23">
        <f t="shared" si="114"/>
        <v>6</v>
      </c>
      <c r="N446" s="23">
        <f t="shared" si="106"/>
        <v>0.77815125038364363</v>
      </c>
      <c r="O446" t="s">
        <v>462</v>
      </c>
      <c r="P446">
        <v>4</v>
      </c>
      <c r="Q446" t="s">
        <v>685</v>
      </c>
      <c r="R446" t="s">
        <v>696</v>
      </c>
      <c r="S446" t="s">
        <v>692</v>
      </c>
    </row>
    <row r="447" spans="1:19" x14ac:dyDescent="0.4">
      <c r="A447" t="s">
        <v>1476</v>
      </c>
      <c r="B447" s="24">
        <v>1707</v>
      </c>
      <c r="C447" s="24">
        <v>12</v>
      </c>
      <c r="D447" s="24">
        <v>17</v>
      </c>
      <c r="E447" s="24">
        <v>7</v>
      </c>
      <c r="G447" s="20">
        <f t="shared" si="105"/>
        <v>51688998000</v>
      </c>
      <c r="H447" s="20">
        <v>5</v>
      </c>
      <c r="J447" t="s">
        <v>656</v>
      </c>
      <c r="K447" s="22" t="str">
        <f t="shared" si="113"/>
        <v>span</v>
      </c>
      <c r="M447" s="23">
        <f t="shared" si="114"/>
        <v>21</v>
      </c>
      <c r="N447" s="23">
        <f t="shared" si="106"/>
        <v>1.3222192947339193</v>
      </c>
      <c r="O447" t="s">
        <v>462</v>
      </c>
      <c r="P447">
        <v>3</v>
      </c>
      <c r="Q447" t="s">
        <v>686</v>
      </c>
      <c r="R447" t="s">
        <v>694</v>
      </c>
      <c r="S447" t="s">
        <v>692</v>
      </c>
    </row>
    <row r="448" spans="1:19" x14ac:dyDescent="0.4">
      <c r="A448" t="s">
        <v>1476</v>
      </c>
      <c r="B448" s="24">
        <v>1707</v>
      </c>
      <c r="C448" s="24">
        <v>12</v>
      </c>
      <c r="D448" s="24">
        <v>17</v>
      </c>
      <c r="E448" s="24">
        <v>17</v>
      </c>
      <c r="G448" s="20">
        <f t="shared" ref="G448:G620" si="115">(IF(C448="",DATE(B448,7,1),IF(D448="",DATE(B448,C448,16), IF(E448="",DATE(B448,C448,D448)+TIME(12,0,0), IF(F448="", DATE(B448,C448,D448)+TIME(E448,0,0),DATE(B448,C448,D448)+TIME(E448,F448,0))))) - 25569)*86400</f>
        <v>51689034000</v>
      </c>
      <c r="J448" t="s">
        <v>656</v>
      </c>
      <c r="K448" s="22" t="str">
        <f t="shared" si="113"/>
        <v>point</v>
      </c>
      <c r="M448" s="23">
        <f t="shared" si="114"/>
        <v>31</v>
      </c>
      <c r="N448" s="23">
        <f t="shared" si="106"/>
        <v>1.4913616938342726</v>
      </c>
      <c r="O448" t="s">
        <v>464</v>
      </c>
      <c r="P448">
        <v>-1</v>
      </c>
      <c r="Q448" t="s">
        <v>687</v>
      </c>
      <c r="S448" t="s">
        <v>692</v>
      </c>
    </row>
    <row r="449" spans="1:19" x14ac:dyDescent="0.4">
      <c r="A449" t="s">
        <v>1476</v>
      </c>
      <c r="B449" s="24">
        <v>1707</v>
      </c>
      <c r="C449" s="24">
        <v>12</v>
      </c>
      <c r="D449" s="24">
        <v>17</v>
      </c>
      <c r="E449" s="24">
        <v>21</v>
      </c>
      <c r="G449" s="20">
        <f t="shared" si="115"/>
        <v>51689048400</v>
      </c>
      <c r="J449" t="s">
        <v>656</v>
      </c>
      <c r="K449" s="22" t="str">
        <f t="shared" si="113"/>
        <v>point</v>
      </c>
      <c r="M449" s="23">
        <f t="shared" si="114"/>
        <v>35</v>
      </c>
      <c r="N449" s="23">
        <f t="shared" si="106"/>
        <v>1.5440680443502757</v>
      </c>
      <c r="O449" t="s">
        <v>464</v>
      </c>
      <c r="P449">
        <v>2</v>
      </c>
      <c r="Q449" t="s">
        <v>688</v>
      </c>
      <c r="S449" t="s">
        <v>692</v>
      </c>
    </row>
    <row r="450" spans="1:19" x14ac:dyDescent="0.4">
      <c r="A450" t="s">
        <v>1476</v>
      </c>
      <c r="B450" s="24">
        <v>1707</v>
      </c>
      <c r="C450" s="24">
        <v>12</v>
      </c>
      <c r="D450" s="24">
        <v>18</v>
      </c>
      <c r="E450" s="24">
        <v>7</v>
      </c>
      <c r="G450" s="20">
        <f t="shared" si="115"/>
        <v>51689084400</v>
      </c>
      <c r="J450" t="s">
        <v>656</v>
      </c>
      <c r="K450" s="22" t="str">
        <f t="shared" si="113"/>
        <v>point</v>
      </c>
      <c r="M450" s="23">
        <f t="shared" si="114"/>
        <v>45</v>
      </c>
      <c r="N450" s="23">
        <f t="shared" si="106"/>
        <v>1.6532125137753437</v>
      </c>
      <c r="O450" t="s">
        <v>462</v>
      </c>
      <c r="P450">
        <v>3</v>
      </c>
      <c r="Q450" t="s">
        <v>686</v>
      </c>
      <c r="S450" t="s">
        <v>692</v>
      </c>
    </row>
    <row r="451" spans="1:19" x14ac:dyDescent="0.4">
      <c r="A451" t="s">
        <v>1476</v>
      </c>
      <c r="B451" s="24">
        <v>1707</v>
      </c>
      <c r="C451" s="24">
        <v>12</v>
      </c>
      <c r="D451" s="24">
        <v>20</v>
      </c>
      <c r="E451" s="24">
        <v>7</v>
      </c>
      <c r="G451" s="20">
        <f t="shared" si="115"/>
        <v>51689257200</v>
      </c>
      <c r="H451" s="20">
        <v>5</v>
      </c>
      <c r="J451" t="s">
        <v>656</v>
      </c>
      <c r="K451" s="22" t="str">
        <f t="shared" si="113"/>
        <v>span</v>
      </c>
      <c r="M451" s="23">
        <f t="shared" si="114"/>
        <v>93</v>
      </c>
      <c r="N451" s="23">
        <f t="shared" ref="N451:N622" si="116">IF(M451=0,0, IF(M451&gt;0,LOG10(M451), -LOG10(-1*M451)))</f>
        <v>1.968482948553935</v>
      </c>
      <c r="O451" t="s">
        <v>462</v>
      </c>
      <c r="P451">
        <v>3</v>
      </c>
      <c r="Q451" t="s">
        <v>686</v>
      </c>
      <c r="S451" t="s">
        <v>692</v>
      </c>
    </row>
    <row r="452" spans="1:19" x14ac:dyDescent="0.4">
      <c r="A452" t="s">
        <v>1476</v>
      </c>
      <c r="B452" s="24">
        <v>1707</v>
      </c>
      <c r="C452" s="24">
        <v>12</v>
      </c>
      <c r="D452" s="24">
        <v>21</v>
      </c>
      <c r="E452" s="24">
        <v>7</v>
      </c>
      <c r="G452" s="20">
        <f t="shared" si="115"/>
        <v>51689343600</v>
      </c>
      <c r="J452" t="s">
        <v>656</v>
      </c>
      <c r="K452" s="22" t="str">
        <f t="shared" si="113"/>
        <v>point</v>
      </c>
      <c r="M452" s="23">
        <f t="shared" si="114"/>
        <v>117</v>
      </c>
      <c r="N452" s="23">
        <f t="shared" si="116"/>
        <v>2.0681858617461617</v>
      </c>
      <c r="O452" t="s">
        <v>462</v>
      </c>
      <c r="P452">
        <v>3</v>
      </c>
      <c r="Q452" t="s">
        <v>686</v>
      </c>
      <c r="S452" t="s">
        <v>692</v>
      </c>
    </row>
    <row r="453" spans="1:19" x14ac:dyDescent="0.4">
      <c r="A453" t="s">
        <v>1476</v>
      </c>
      <c r="B453" s="24">
        <v>1707</v>
      </c>
      <c r="C453" s="24">
        <v>12</v>
      </c>
      <c r="D453" s="24">
        <v>23</v>
      </c>
      <c r="E453" s="24">
        <v>12</v>
      </c>
      <c r="G453" s="20">
        <f t="shared" si="115"/>
        <v>51689534400</v>
      </c>
      <c r="J453" t="s">
        <v>656</v>
      </c>
      <c r="K453" s="22" t="str">
        <f t="shared" si="113"/>
        <v>point</v>
      </c>
      <c r="M453" s="23">
        <f t="shared" si="114"/>
        <v>170</v>
      </c>
      <c r="N453" s="23">
        <f t="shared" si="116"/>
        <v>2.2304489213782741</v>
      </c>
      <c r="O453" t="s">
        <v>462</v>
      </c>
      <c r="P453">
        <v>3</v>
      </c>
      <c r="Q453" t="s">
        <v>686</v>
      </c>
      <c r="S453" t="s">
        <v>692</v>
      </c>
    </row>
    <row r="454" spans="1:19" x14ac:dyDescent="0.4">
      <c r="A454" t="s">
        <v>1476</v>
      </c>
      <c r="B454" s="24">
        <v>1707</v>
      </c>
      <c r="C454" s="24">
        <v>12</v>
      </c>
      <c r="D454" s="24">
        <v>25</v>
      </c>
      <c r="E454" s="24">
        <v>17</v>
      </c>
      <c r="G454" s="20">
        <f t="shared" si="115"/>
        <v>51689725200</v>
      </c>
      <c r="H454" s="20">
        <v>36</v>
      </c>
      <c r="J454" t="s">
        <v>656</v>
      </c>
      <c r="K454" s="22" t="str">
        <f t="shared" si="113"/>
        <v>span</v>
      </c>
      <c r="M454" s="23">
        <f t="shared" si="114"/>
        <v>223</v>
      </c>
      <c r="N454" s="23">
        <f t="shared" si="116"/>
        <v>2.3483048630481607</v>
      </c>
      <c r="O454" t="s">
        <v>462</v>
      </c>
      <c r="P454">
        <v>5</v>
      </c>
      <c r="Q454" t="s">
        <v>689</v>
      </c>
      <c r="R454" t="s">
        <v>693</v>
      </c>
      <c r="S454" t="s">
        <v>692</v>
      </c>
    </row>
    <row r="455" spans="1:19" x14ac:dyDescent="0.4">
      <c r="A455" t="s">
        <v>1476</v>
      </c>
      <c r="B455" s="24">
        <v>1707</v>
      </c>
      <c r="C455" s="24">
        <v>12</v>
      </c>
      <c r="D455" s="24">
        <v>31</v>
      </c>
      <c r="E455" s="24">
        <v>20</v>
      </c>
      <c r="G455" s="20">
        <f t="shared" si="115"/>
        <v>51690254400</v>
      </c>
      <c r="J455" t="s">
        <v>656</v>
      </c>
      <c r="K455" s="22" t="str">
        <f t="shared" si="113"/>
        <v>point</v>
      </c>
      <c r="M455" s="23">
        <f t="shared" si="114"/>
        <v>370</v>
      </c>
      <c r="N455" s="23">
        <f t="shared" si="116"/>
        <v>2.568201724066995</v>
      </c>
      <c r="O455" t="s">
        <v>462</v>
      </c>
      <c r="P455">
        <v>4</v>
      </c>
      <c r="Q455" t="s">
        <v>690</v>
      </c>
      <c r="S455" t="s">
        <v>692</v>
      </c>
    </row>
    <row r="456" spans="1:19" x14ac:dyDescent="0.4">
      <c r="A456" t="s">
        <v>1476</v>
      </c>
      <c r="B456" s="24">
        <v>1708</v>
      </c>
      <c r="C456" s="24">
        <v>1</v>
      </c>
      <c r="D456" s="24">
        <v>1</v>
      </c>
      <c r="E456" s="24">
        <v>5</v>
      </c>
      <c r="G456" s="20">
        <f t="shared" si="115"/>
        <v>51690286800</v>
      </c>
      <c r="J456" t="s">
        <v>656</v>
      </c>
      <c r="K456" s="22" t="str">
        <f t="shared" si="113"/>
        <v>point</v>
      </c>
      <c r="L456" s="20" t="s">
        <v>672</v>
      </c>
      <c r="M456" s="23">
        <f t="shared" si="114"/>
        <v>379</v>
      </c>
      <c r="N456" s="23">
        <f t="shared" si="116"/>
        <v>2.5786392099680722</v>
      </c>
      <c r="O456" t="s">
        <v>462</v>
      </c>
      <c r="P456">
        <v>4</v>
      </c>
      <c r="Q456" t="s">
        <v>691</v>
      </c>
      <c r="R456" t="s">
        <v>697</v>
      </c>
      <c r="S456" t="s">
        <v>692</v>
      </c>
    </row>
    <row r="457" spans="1:19" x14ac:dyDescent="0.4">
      <c r="A457" t="s">
        <v>1477</v>
      </c>
      <c r="B457" s="24">
        <v>1742</v>
      </c>
      <c r="C457" s="24">
        <v>4</v>
      </c>
      <c r="G457" s="20">
        <f t="shared" si="115"/>
        <v>52772342400</v>
      </c>
      <c r="J457" t="s">
        <v>656</v>
      </c>
      <c r="K457" s="22" t="str">
        <f t="shared" ref="K457:K469" si="117">IF(H457="",IF(I457="","point","middle"),"span")</f>
        <v>point</v>
      </c>
      <c r="M457" s="23">
        <f t="shared" ref="M457:M510" si="118">(G457--1766246400)/3600</f>
        <v>15149608</v>
      </c>
      <c r="N457" s="23">
        <f t="shared" si="116"/>
        <v>7.180401395502388</v>
      </c>
      <c r="O457" t="s">
        <v>462</v>
      </c>
      <c r="P457">
        <v>4</v>
      </c>
      <c r="S457" t="s">
        <v>993</v>
      </c>
    </row>
    <row r="458" spans="1:19" x14ac:dyDescent="0.4">
      <c r="A458" t="s">
        <v>1477</v>
      </c>
      <c r="B458" s="24">
        <v>1749</v>
      </c>
      <c r="G458" s="20">
        <f t="shared" si="115"/>
        <v>52999833600</v>
      </c>
      <c r="J458" t="s">
        <v>656</v>
      </c>
      <c r="K458" s="22" t="str">
        <f t="shared" si="117"/>
        <v>point</v>
      </c>
      <c r="M458" s="23">
        <f t="shared" si="118"/>
        <v>15212800</v>
      </c>
      <c r="N458" s="23">
        <f t="shared" si="116"/>
        <v>7.1822091557120675</v>
      </c>
      <c r="O458" t="s">
        <v>462</v>
      </c>
      <c r="P458">
        <v>4</v>
      </c>
      <c r="Q458" t="s">
        <v>1037</v>
      </c>
      <c r="S458" t="s">
        <v>993</v>
      </c>
    </row>
    <row r="459" spans="1:19" x14ac:dyDescent="0.4">
      <c r="A459" t="s">
        <v>1477</v>
      </c>
      <c r="B459" s="24">
        <v>1756</v>
      </c>
      <c r="G459" s="20">
        <f t="shared" si="115"/>
        <v>53220758400</v>
      </c>
      <c r="J459" t="s">
        <v>656</v>
      </c>
      <c r="K459" s="22" t="str">
        <f t="shared" si="117"/>
        <v>point</v>
      </c>
      <c r="M459" s="23">
        <f t="shared" si="118"/>
        <v>15274168</v>
      </c>
      <c r="N459" s="23">
        <f t="shared" si="116"/>
        <v>7.1839575630815409</v>
      </c>
      <c r="O459" t="s">
        <v>462</v>
      </c>
      <c r="P459">
        <v>4</v>
      </c>
      <c r="S459" t="s">
        <v>993</v>
      </c>
    </row>
    <row r="460" spans="1:19" x14ac:dyDescent="0.4">
      <c r="A460" t="s">
        <v>1477</v>
      </c>
      <c r="B460" s="24">
        <v>1779</v>
      </c>
      <c r="C460" s="24">
        <v>11</v>
      </c>
      <c r="D460" s="24">
        <v>5</v>
      </c>
      <c r="G460" s="20">
        <f t="shared" si="115"/>
        <v>53957534400</v>
      </c>
      <c r="J460" t="s">
        <v>656</v>
      </c>
      <c r="K460" s="22" t="str">
        <f t="shared" si="117"/>
        <v>point</v>
      </c>
      <c r="M460" s="23">
        <f t="shared" si="118"/>
        <v>15478828</v>
      </c>
      <c r="N460" s="23">
        <f t="shared" si="116"/>
        <v>7.18973807440877</v>
      </c>
      <c r="O460" t="s">
        <v>464</v>
      </c>
      <c r="P460">
        <v>2</v>
      </c>
      <c r="Q460" t="s">
        <v>1040</v>
      </c>
      <c r="S460" t="s">
        <v>993</v>
      </c>
    </row>
    <row r="461" spans="1:19" x14ac:dyDescent="0.4">
      <c r="A461" t="s">
        <v>1477</v>
      </c>
      <c r="B461" s="24">
        <v>1779</v>
      </c>
      <c r="C461" s="24">
        <v>11</v>
      </c>
      <c r="D461" s="24">
        <v>8</v>
      </c>
      <c r="E461" s="24">
        <v>11</v>
      </c>
      <c r="G461" s="20">
        <f t="shared" si="115"/>
        <v>53957790000</v>
      </c>
      <c r="J461" t="s">
        <v>656</v>
      </c>
      <c r="K461" s="22" t="str">
        <f t="shared" si="117"/>
        <v>point</v>
      </c>
      <c r="M461" s="23">
        <f t="shared" si="118"/>
        <v>15478899</v>
      </c>
      <c r="N461" s="23">
        <f t="shared" si="116"/>
        <v>7.1897400664741573</v>
      </c>
      <c r="O461" t="s">
        <v>462</v>
      </c>
      <c r="P461">
        <v>6</v>
      </c>
      <c r="Q461" t="s">
        <v>1041</v>
      </c>
      <c r="S461" t="s">
        <v>993</v>
      </c>
    </row>
    <row r="462" spans="1:19" x14ac:dyDescent="0.4">
      <c r="A462" t="s">
        <v>1477</v>
      </c>
      <c r="B462" s="24">
        <v>1781</v>
      </c>
      <c r="C462" s="24">
        <v>4</v>
      </c>
      <c r="G462" s="20">
        <f t="shared" si="115"/>
        <v>54003110400</v>
      </c>
      <c r="H462" s="20">
        <f>30*24</f>
        <v>720</v>
      </c>
      <c r="J462" t="s">
        <v>656</v>
      </c>
      <c r="K462" s="22" t="str">
        <f t="shared" si="117"/>
        <v>span</v>
      </c>
      <c r="M462" s="23">
        <f t="shared" si="118"/>
        <v>15491488</v>
      </c>
      <c r="N462" s="23">
        <f t="shared" si="116"/>
        <v>7.190093134941387</v>
      </c>
      <c r="O462" t="s">
        <v>462</v>
      </c>
      <c r="P462">
        <v>4</v>
      </c>
      <c r="Q462" t="s">
        <v>1039</v>
      </c>
      <c r="S462" t="s">
        <v>993</v>
      </c>
    </row>
    <row r="463" spans="1:19" x14ac:dyDescent="0.4">
      <c r="A463" t="s">
        <v>1477</v>
      </c>
      <c r="B463" s="24">
        <v>1782</v>
      </c>
      <c r="C463" s="24">
        <v>1</v>
      </c>
      <c r="G463" s="20">
        <f t="shared" si="115"/>
        <v>54026870400</v>
      </c>
      <c r="J463" t="s">
        <v>656</v>
      </c>
      <c r="K463" s="22" t="str">
        <f t="shared" si="117"/>
        <v>point</v>
      </c>
      <c r="M463" s="23">
        <f t="shared" si="118"/>
        <v>15498088</v>
      </c>
      <c r="N463" s="23">
        <f t="shared" si="116"/>
        <v>7.1902781225400494</v>
      </c>
      <c r="O463" t="s">
        <v>462</v>
      </c>
      <c r="P463">
        <v>4</v>
      </c>
      <c r="Q463" t="s">
        <v>1039</v>
      </c>
      <c r="S463" t="s">
        <v>993</v>
      </c>
    </row>
    <row r="464" spans="1:19" x14ac:dyDescent="0.4">
      <c r="A464" t="s">
        <v>1477</v>
      </c>
      <c r="B464" s="24">
        <v>1783</v>
      </c>
      <c r="C464" s="24">
        <v>9</v>
      </c>
      <c r="G464" s="20">
        <f t="shared" si="115"/>
        <v>54079401600</v>
      </c>
      <c r="J464" t="s">
        <v>656</v>
      </c>
      <c r="K464" s="22" t="str">
        <f t="shared" si="117"/>
        <v>point</v>
      </c>
      <c r="M464" s="23">
        <f t="shared" si="118"/>
        <v>15512680</v>
      </c>
      <c r="N464" s="23">
        <f t="shared" si="116"/>
        <v>7.1906868338333423</v>
      </c>
      <c r="O464" t="s">
        <v>462</v>
      </c>
      <c r="P464">
        <v>4</v>
      </c>
      <c r="S464" t="s">
        <v>993</v>
      </c>
    </row>
    <row r="465" spans="1:19" x14ac:dyDescent="0.4">
      <c r="A465" t="s">
        <v>1477</v>
      </c>
      <c r="B465" s="24">
        <v>1785</v>
      </c>
      <c r="C465" s="24">
        <v>11</v>
      </c>
      <c r="G465" s="20">
        <f t="shared" si="115"/>
        <v>54147830400</v>
      </c>
      <c r="J465" t="s">
        <v>656</v>
      </c>
      <c r="K465" s="22" t="str">
        <f t="shared" si="117"/>
        <v>point</v>
      </c>
      <c r="M465" s="23">
        <f t="shared" si="118"/>
        <v>15531688</v>
      </c>
      <c r="N465" s="23">
        <f t="shared" si="116"/>
        <v>7.1912186578694195</v>
      </c>
      <c r="O465" t="s">
        <v>462</v>
      </c>
      <c r="P465">
        <v>4</v>
      </c>
      <c r="S465" t="s">
        <v>993</v>
      </c>
    </row>
    <row r="466" spans="1:19" x14ac:dyDescent="0.4">
      <c r="A466" t="s">
        <v>1477</v>
      </c>
      <c r="B466" s="24">
        <v>1790</v>
      </c>
      <c r="G466" s="20">
        <f t="shared" si="115"/>
        <v>54293673600</v>
      </c>
      <c r="H466" s="20">
        <f>9*365*24</f>
        <v>78840</v>
      </c>
      <c r="J466" t="s">
        <v>656</v>
      </c>
      <c r="K466" s="22" t="str">
        <f t="shared" si="117"/>
        <v>span</v>
      </c>
      <c r="M466" s="23">
        <f t="shared" si="118"/>
        <v>15572200</v>
      </c>
      <c r="N466" s="23">
        <f t="shared" si="116"/>
        <v>7.1923499728998745</v>
      </c>
      <c r="O466" t="s">
        <v>462</v>
      </c>
      <c r="P466">
        <v>4</v>
      </c>
      <c r="Q466" t="s">
        <v>1038</v>
      </c>
      <c r="S466" t="s">
        <v>993</v>
      </c>
    </row>
    <row r="467" spans="1:19" x14ac:dyDescent="0.4">
      <c r="A467" t="s">
        <v>1477</v>
      </c>
      <c r="B467" s="24">
        <v>1860</v>
      </c>
      <c r="G467" s="20">
        <f t="shared" si="115"/>
        <v>56502662400</v>
      </c>
      <c r="J467" t="s">
        <v>656</v>
      </c>
      <c r="K467" s="22" t="str">
        <f t="shared" si="117"/>
        <v>point</v>
      </c>
      <c r="M467" s="23">
        <f t="shared" si="118"/>
        <v>16185808</v>
      </c>
      <c r="N467" s="23">
        <f t="shared" si="116"/>
        <v>7.2091343843800795</v>
      </c>
      <c r="O467" t="s">
        <v>462</v>
      </c>
      <c r="P467">
        <v>4</v>
      </c>
      <c r="Q467" t="s">
        <v>1037</v>
      </c>
      <c r="S467" t="s">
        <v>993</v>
      </c>
    </row>
    <row r="468" spans="1:19" x14ac:dyDescent="0.4">
      <c r="A468" t="s">
        <v>1477</v>
      </c>
      <c r="B468" s="24">
        <v>1899</v>
      </c>
      <c r="C468" s="24">
        <v>9</v>
      </c>
      <c r="G468" s="20">
        <f t="shared" si="115"/>
        <v>57739996800</v>
      </c>
      <c r="J468" t="s">
        <v>656</v>
      </c>
      <c r="K468" s="22" t="str">
        <f t="shared" si="117"/>
        <v>point</v>
      </c>
      <c r="M468" s="23">
        <f t="shared" si="118"/>
        <v>16529512</v>
      </c>
      <c r="N468" s="23">
        <f t="shared" si="116"/>
        <v>7.2182600321052881</v>
      </c>
      <c r="O468" t="s">
        <v>462</v>
      </c>
      <c r="P468">
        <v>4</v>
      </c>
      <c r="Q468" t="s">
        <v>1037</v>
      </c>
      <c r="S468" t="s">
        <v>993</v>
      </c>
    </row>
    <row r="469" spans="1:19" x14ac:dyDescent="0.4">
      <c r="A469" t="s">
        <v>1477</v>
      </c>
      <c r="B469" s="24">
        <v>1913</v>
      </c>
      <c r="G469" s="20">
        <f t="shared" si="115"/>
        <v>-1783123200</v>
      </c>
      <c r="J469" t="s">
        <v>656</v>
      </c>
      <c r="K469" s="22" t="str">
        <f t="shared" si="117"/>
        <v>point</v>
      </c>
      <c r="M469" s="23">
        <f t="shared" si="118"/>
        <v>-4688</v>
      </c>
      <c r="N469" s="23">
        <f t="shared" si="116"/>
        <v>-3.6709876030100341</v>
      </c>
      <c r="O469" t="s">
        <v>1035</v>
      </c>
      <c r="P469">
        <v>1</v>
      </c>
      <c r="Q469" t="s">
        <v>1036</v>
      </c>
      <c r="S469" t="s">
        <v>993</v>
      </c>
    </row>
    <row r="470" spans="1:19" x14ac:dyDescent="0.4">
      <c r="A470" t="s">
        <v>1477</v>
      </c>
      <c r="B470" s="24">
        <v>1914</v>
      </c>
      <c r="C470" s="24">
        <v>1</v>
      </c>
      <c r="D470" s="24">
        <v>9</v>
      </c>
      <c r="E470" s="24">
        <v>16</v>
      </c>
      <c r="G470" s="20">
        <f t="shared" si="115"/>
        <v>-1766476800</v>
      </c>
      <c r="H470" s="20">
        <v>70</v>
      </c>
      <c r="J470" t="s">
        <v>656</v>
      </c>
      <c r="K470" s="22" t="str">
        <f t="shared" si="113"/>
        <v>span</v>
      </c>
      <c r="M470" s="23">
        <f t="shared" si="118"/>
        <v>-64</v>
      </c>
      <c r="N470" s="23">
        <f t="shared" si="116"/>
        <v>-1.8061799739838871</v>
      </c>
      <c r="O470" t="s">
        <v>464</v>
      </c>
      <c r="P470">
        <v>2</v>
      </c>
      <c r="Q470" t="s">
        <v>708</v>
      </c>
      <c r="S470" t="s">
        <v>715</v>
      </c>
    </row>
    <row r="471" spans="1:19" x14ac:dyDescent="0.4">
      <c r="A471" t="s">
        <v>1477</v>
      </c>
      <c r="B471" s="24">
        <v>1914</v>
      </c>
      <c r="C471" s="24">
        <v>1</v>
      </c>
      <c r="D471" s="24">
        <v>10</v>
      </c>
      <c r="G471" s="20">
        <f t="shared" si="115"/>
        <v>-1766404800</v>
      </c>
      <c r="J471" t="s">
        <v>656</v>
      </c>
      <c r="K471" s="22" t="str">
        <f t="shared" si="113"/>
        <v>point</v>
      </c>
      <c r="M471" s="23">
        <f t="shared" si="118"/>
        <v>-44</v>
      </c>
      <c r="N471" s="23">
        <f t="shared" si="116"/>
        <v>-1.6434526764861874</v>
      </c>
      <c r="O471" t="s">
        <v>464</v>
      </c>
      <c r="P471">
        <v>2</v>
      </c>
      <c r="Q471" t="s">
        <v>709</v>
      </c>
      <c r="S471" t="s">
        <v>715</v>
      </c>
    </row>
    <row r="472" spans="1:19" x14ac:dyDescent="0.4">
      <c r="A472" t="s">
        <v>1477</v>
      </c>
      <c r="B472" s="24">
        <v>1914</v>
      </c>
      <c r="C472" s="24">
        <v>1</v>
      </c>
      <c r="D472" s="24">
        <v>11</v>
      </c>
      <c r="G472" s="20">
        <f t="shared" si="115"/>
        <v>-1766318400</v>
      </c>
      <c r="J472" t="s">
        <v>656</v>
      </c>
      <c r="K472" s="22" t="str">
        <f t="shared" si="113"/>
        <v>point</v>
      </c>
      <c r="M472" s="23">
        <f t="shared" si="118"/>
        <v>-20</v>
      </c>
      <c r="N472" s="23">
        <f t="shared" si="116"/>
        <v>-1.3010299956639813</v>
      </c>
      <c r="O472" t="s">
        <v>464</v>
      </c>
      <c r="P472">
        <v>2</v>
      </c>
      <c r="Q472" t="s">
        <v>710</v>
      </c>
      <c r="S472" t="s">
        <v>715</v>
      </c>
    </row>
    <row r="473" spans="1:19" x14ac:dyDescent="0.4">
      <c r="A473" t="s">
        <v>1477</v>
      </c>
      <c r="B473" s="24">
        <v>1914</v>
      </c>
      <c r="C473" s="24">
        <v>1</v>
      </c>
      <c r="D473" s="24">
        <v>12</v>
      </c>
      <c r="E473" s="24">
        <v>8</v>
      </c>
      <c r="G473" s="20">
        <f t="shared" si="115"/>
        <v>-1766246400</v>
      </c>
      <c r="J473" t="s">
        <v>711</v>
      </c>
      <c r="K473" s="22" t="str">
        <f t="shared" si="113"/>
        <v>point</v>
      </c>
      <c r="L473" s="20" t="s">
        <v>720</v>
      </c>
      <c r="M473" s="23">
        <f t="shared" si="118"/>
        <v>0</v>
      </c>
      <c r="N473" s="23">
        <f t="shared" si="116"/>
        <v>0</v>
      </c>
      <c r="O473" t="s">
        <v>462</v>
      </c>
      <c r="P473">
        <v>4</v>
      </c>
      <c r="Q473" t="s">
        <v>712</v>
      </c>
      <c r="S473" t="s">
        <v>715</v>
      </c>
    </row>
    <row r="474" spans="1:19" x14ac:dyDescent="0.4">
      <c r="A474" t="s">
        <v>1477</v>
      </c>
      <c r="B474" s="24">
        <v>1914</v>
      </c>
      <c r="C474" s="24">
        <v>1</v>
      </c>
      <c r="D474" s="24">
        <v>12</v>
      </c>
      <c r="E474" s="24">
        <v>8</v>
      </c>
      <c r="G474" s="20">
        <f t="shared" si="115"/>
        <v>-1766246400</v>
      </c>
      <c r="J474" t="s">
        <v>711</v>
      </c>
      <c r="K474" s="22" t="str">
        <f t="shared" si="113"/>
        <v>point</v>
      </c>
      <c r="M474" s="23">
        <f t="shared" si="118"/>
        <v>0</v>
      </c>
      <c r="N474" s="23">
        <f t="shared" si="116"/>
        <v>0</v>
      </c>
      <c r="O474" t="s">
        <v>486</v>
      </c>
      <c r="P474">
        <v>2</v>
      </c>
      <c r="Q474" t="s">
        <v>713</v>
      </c>
      <c r="S474" t="s">
        <v>715</v>
      </c>
    </row>
    <row r="475" spans="1:19" x14ac:dyDescent="0.4">
      <c r="A475" t="s">
        <v>1477</v>
      </c>
      <c r="B475" s="24">
        <v>1914</v>
      </c>
      <c r="C475" s="24">
        <v>1</v>
      </c>
      <c r="D475" s="24">
        <v>12</v>
      </c>
      <c r="E475" s="24">
        <v>9</v>
      </c>
      <c r="F475" s="24">
        <v>10</v>
      </c>
      <c r="G475" s="20">
        <f t="shared" si="115"/>
        <v>-1766242200</v>
      </c>
      <c r="J475" t="s">
        <v>711</v>
      </c>
      <c r="K475" s="22" t="str">
        <f t="shared" si="113"/>
        <v>point</v>
      </c>
      <c r="M475" s="23">
        <f t="shared" si="118"/>
        <v>1.1666666666666667</v>
      </c>
      <c r="N475" s="23">
        <f t="shared" si="116"/>
        <v>6.6946789630613221E-2</v>
      </c>
      <c r="O475" t="s">
        <v>462</v>
      </c>
      <c r="P475">
        <v>4</v>
      </c>
      <c r="Q475" t="s">
        <v>714</v>
      </c>
      <c r="S475" t="s">
        <v>715</v>
      </c>
    </row>
    <row r="476" spans="1:19" x14ac:dyDescent="0.4">
      <c r="A476" t="s">
        <v>1477</v>
      </c>
      <c r="B476" s="24">
        <v>1914</v>
      </c>
      <c r="C476" s="24">
        <v>1</v>
      </c>
      <c r="D476" s="24">
        <v>12</v>
      </c>
      <c r="E476" s="24">
        <v>10</v>
      </c>
      <c r="F476" s="24">
        <v>0</v>
      </c>
      <c r="G476" s="20">
        <f t="shared" si="115"/>
        <v>-1766239200</v>
      </c>
      <c r="H476" s="20">
        <v>28</v>
      </c>
      <c r="J476" t="s">
        <v>711</v>
      </c>
      <c r="K476" s="22" t="str">
        <f t="shared" si="113"/>
        <v>span</v>
      </c>
      <c r="M476" s="23">
        <f t="shared" si="118"/>
        <v>2</v>
      </c>
      <c r="N476" s="23">
        <f t="shared" si="116"/>
        <v>0.3010299956639812</v>
      </c>
      <c r="O476" t="s">
        <v>462</v>
      </c>
      <c r="P476">
        <v>5</v>
      </c>
      <c r="Q476" t="s">
        <v>729</v>
      </c>
      <c r="S476" t="s">
        <v>715</v>
      </c>
    </row>
    <row r="477" spans="1:19" x14ac:dyDescent="0.4">
      <c r="A477" t="s">
        <v>1477</v>
      </c>
      <c r="B477" s="24">
        <v>1914</v>
      </c>
      <c r="C477" s="24">
        <v>1</v>
      </c>
      <c r="D477" s="24">
        <v>12</v>
      </c>
      <c r="E477" s="24">
        <v>10</v>
      </c>
      <c r="F477" s="24">
        <v>10</v>
      </c>
      <c r="G477" s="20">
        <f t="shared" si="115"/>
        <v>-1766238600.0000002</v>
      </c>
      <c r="J477" t="s">
        <v>711</v>
      </c>
      <c r="K477" s="22" t="str">
        <f t="shared" si="113"/>
        <v>point</v>
      </c>
      <c r="M477" s="23">
        <f t="shared" si="118"/>
        <v>2.1666666666004395</v>
      </c>
      <c r="N477" s="23">
        <f t="shared" si="116"/>
        <v>0.33579210190991832</v>
      </c>
      <c r="O477" t="s">
        <v>462</v>
      </c>
      <c r="P477">
        <v>5</v>
      </c>
      <c r="Q477" t="s">
        <v>730</v>
      </c>
      <c r="S477" t="s">
        <v>715</v>
      </c>
    </row>
    <row r="478" spans="1:19" x14ac:dyDescent="0.4">
      <c r="A478" t="s">
        <v>1477</v>
      </c>
      <c r="B478" s="24">
        <v>1914</v>
      </c>
      <c r="C478" s="24">
        <v>1</v>
      </c>
      <c r="D478" s="24">
        <v>12</v>
      </c>
      <c r="E478" s="24">
        <v>14</v>
      </c>
      <c r="F478" s="24">
        <v>0</v>
      </c>
      <c r="G478" s="20">
        <f t="shared" si="115"/>
        <v>-1766224800</v>
      </c>
      <c r="J478" t="s">
        <v>711</v>
      </c>
      <c r="K478" s="22" t="str">
        <f t="shared" si="113"/>
        <v>point</v>
      </c>
      <c r="M478" s="23">
        <f t="shared" si="118"/>
        <v>6</v>
      </c>
      <c r="N478" s="23">
        <f t="shared" si="116"/>
        <v>0.77815125038364363</v>
      </c>
      <c r="O478" t="s">
        <v>462</v>
      </c>
      <c r="P478">
        <v>4</v>
      </c>
      <c r="Q478" t="s">
        <v>716</v>
      </c>
      <c r="S478" t="s">
        <v>715</v>
      </c>
    </row>
    <row r="479" spans="1:19" x14ac:dyDescent="0.4">
      <c r="A479" t="s">
        <v>1477</v>
      </c>
      <c r="B479" s="24">
        <v>1914</v>
      </c>
      <c r="C479" s="24">
        <v>1</v>
      </c>
      <c r="D479" s="24">
        <v>12</v>
      </c>
      <c r="E479" s="24">
        <v>14</v>
      </c>
      <c r="G479" s="20">
        <f t="shared" si="115"/>
        <v>-1766224800</v>
      </c>
      <c r="H479" s="20">
        <f>11*30*24</f>
        <v>7920</v>
      </c>
      <c r="J479" t="s">
        <v>711</v>
      </c>
      <c r="K479" s="22" t="str">
        <f t="shared" si="113"/>
        <v>span</v>
      </c>
      <c r="M479" s="23">
        <f t="shared" si="118"/>
        <v>6</v>
      </c>
      <c r="N479" s="23">
        <f t="shared" si="116"/>
        <v>0.77815125038364363</v>
      </c>
      <c r="O479" t="s">
        <v>462</v>
      </c>
      <c r="P479">
        <v>3</v>
      </c>
      <c r="Q479" t="s">
        <v>724</v>
      </c>
      <c r="R479" t="s">
        <v>748</v>
      </c>
      <c r="S479" t="s">
        <v>715</v>
      </c>
    </row>
    <row r="480" spans="1:19" x14ac:dyDescent="0.4">
      <c r="A480" t="s">
        <v>1477</v>
      </c>
      <c r="B480" s="24">
        <v>1914</v>
      </c>
      <c r="C480" s="24">
        <v>1</v>
      </c>
      <c r="D480" s="24">
        <v>12</v>
      </c>
      <c r="E480" s="24">
        <v>15</v>
      </c>
      <c r="F480" s="24">
        <v>30</v>
      </c>
      <c r="G480" s="20">
        <f t="shared" si="115"/>
        <v>-1766219400</v>
      </c>
      <c r="J480" t="s">
        <v>711</v>
      </c>
      <c r="K480" s="22" t="str">
        <f t="shared" si="113"/>
        <v>point</v>
      </c>
      <c r="M480" s="23">
        <f t="shared" si="118"/>
        <v>7.5</v>
      </c>
      <c r="N480" s="23">
        <f t="shared" si="116"/>
        <v>0.87506126339170009</v>
      </c>
      <c r="O480" t="s">
        <v>462</v>
      </c>
      <c r="P480">
        <v>4</v>
      </c>
      <c r="Q480" t="s">
        <v>717</v>
      </c>
      <c r="S480" t="s">
        <v>715</v>
      </c>
    </row>
    <row r="481" spans="1:19" x14ac:dyDescent="0.4">
      <c r="A481" t="s">
        <v>1477</v>
      </c>
      <c r="B481" s="24">
        <v>1914</v>
      </c>
      <c r="C481" s="24">
        <v>1</v>
      </c>
      <c r="D481" s="24">
        <v>12</v>
      </c>
      <c r="E481" s="24">
        <v>18</v>
      </c>
      <c r="G481" s="20">
        <f t="shared" si="115"/>
        <v>-1766210400</v>
      </c>
      <c r="H481" s="20">
        <f>14*24</f>
        <v>336</v>
      </c>
      <c r="J481" t="s">
        <v>711</v>
      </c>
      <c r="K481" s="22" t="str">
        <f t="shared" si="113"/>
        <v>span</v>
      </c>
      <c r="M481" s="23">
        <f t="shared" si="118"/>
        <v>10</v>
      </c>
      <c r="N481" s="23">
        <f t="shared" si="116"/>
        <v>1</v>
      </c>
      <c r="O481" t="s">
        <v>462</v>
      </c>
      <c r="P481">
        <v>3</v>
      </c>
      <c r="Q481" t="s">
        <v>728</v>
      </c>
      <c r="R481" t="s">
        <v>742</v>
      </c>
      <c r="S481" t="s">
        <v>715</v>
      </c>
    </row>
    <row r="482" spans="1:19" x14ac:dyDescent="0.4">
      <c r="A482" t="s">
        <v>1477</v>
      </c>
      <c r="B482" s="24">
        <v>1914</v>
      </c>
      <c r="C482" s="24">
        <v>1</v>
      </c>
      <c r="D482" s="24">
        <v>12</v>
      </c>
      <c r="E482" s="24">
        <v>18</v>
      </c>
      <c r="F482" s="24">
        <v>29</v>
      </c>
      <c r="G482" s="20">
        <f t="shared" si="115"/>
        <v>-1766208660</v>
      </c>
      <c r="J482" t="s">
        <v>711</v>
      </c>
      <c r="K482" s="22" t="str">
        <f t="shared" si="113"/>
        <v>point</v>
      </c>
      <c r="M482" s="23">
        <f t="shared" si="118"/>
        <v>10.483333333333333</v>
      </c>
      <c r="N482" s="23">
        <f t="shared" si="116"/>
        <v>1.0204993950616252</v>
      </c>
      <c r="O482" t="s">
        <v>464</v>
      </c>
      <c r="P482">
        <v>2</v>
      </c>
      <c r="Q482" t="s">
        <v>718</v>
      </c>
      <c r="S482" t="s">
        <v>715</v>
      </c>
    </row>
    <row r="483" spans="1:19" x14ac:dyDescent="0.4">
      <c r="A483" t="s">
        <v>1477</v>
      </c>
      <c r="B483" s="24">
        <v>1914</v>
      </c>
      <c r="C483" s="24">
        <v>1</v>
      </c>
      <c r="D483" s="24">
        <v>12</v>
      </c>
      <c r="E483" s="24">
        <v>19</v>
      </c>
      <c r="F483" s="24">
        <v>30</v>
      </c>
      <c r="G483" s="20">
        <f t="shared" si="115"/>
        <v>-1766205000</v>
      </c>
      <c r="J483" t="s">
        <v>711</v>
      </c>
      <c r="K483" s="22" t="str">
        <f t="shared" si="113"/>
        <v>point</v>
      </c>
      <c r="M483" s="23">
        <f t="shared" si="118"/>
        <v>11.5</v>
      </c>
      <c r="N483" s="23">
        <f t="shared" si="116"/>
        <v>1.0606978403536116</v>
      </c>
      <c r="O483" t="s">
        <v>486</v>
      </c>
      <c r="P483">
        <v>2</v>
      </c>
      <c r="Q483" t="s">
        <v>719</v>
      </c>
      <c r="S483" t="s">
        <v>715</v>
      </c>
    </row>
    <row r="484" spans="1:19" x14ac:dyDescent="0.4">
      <c r="A484" t="s">
        <v>1477</v>
      </c>
      <c r="B484" s="24">
        <v>1914</v>
      </c>
      <c r="C484" s="24">
        <v>1</v>
      </c>
      <c r="D484" s="24">
        <v>12</v>
      </c>
      <c r="E484" s="24">
        <v>22</v>
      </c>
      <c r="F484" s="24">
        <v>30</v>
      </c>
      <c r="G484" s="20">
        <f t="shared" si="115"/>
        <v>-1766194200</v>
      </c>
      <c r="J484" t="s">
        <v>711</v>
      </c>
      <c r="K484" s="22" t="str">
        <f t="shared" si="113"/>
        <v>point</v>
      </c>
      <c r="L484" s="20" t="s">
        <v>721</v>
      </c>
      <c r="M484" s="23">
        <f t="shared" si="118"/>
        <v>14.5</v>
      </c>
      <c r="N484" s="23">
        <f t="shared" si="116"/>
        <v>1.1613680022349748</v>
      </c>
      <c r="O484" t="s">
        <v>462</v>
      </c>
      <c r="P484">
        <v>6</v>
      </c>
      <c r="R484" t="s">
        <v>723</v>
      </c>
      <c r="S484" t="s">
        <v>715</v>
      </c>
    </row>
    <row r="485" spans="1:19" x14ac:dyDescent="0.4">
      <c r="A485" t="s">
        <v>1477</v>
      </c>
      <c r="B485" s="24">
        <v>1914</v>
      </c>
      <c r="C485" s="24">
        <v>1</v>
      </c>
      <c r="D485" s="24">
        <v>13</v>
      </c>
      <c r="E485" s="24">
        <v>16</v>
      </c>
      <c r="F485" s="24">
        <v>0</v>
      </c>
      <c r="G485" s="20">
        <f t="shared" si="115"/>
        <v>-1766131200</v>
      </c>
      <c r="J485" t="s">
        <v>711</v>
      </c>
      <c r="K485" s="22" t="str">
        <f t="shared" si="113"/>
        <v>point</v>
      </c>
      <c r="M485" s="23">
        <f t="shared" si="118"/>
        <v>32</v>
      </c>
      <c r="N485" s="23">
        <f t="shared" si="116"/>
        <v>1.505149978319906</v>
      </c>
      <c r="O485" t="s">
        <v>462</v>
      </c>
      <c r="P485">
        <v>4</v>
      </c>
      <c r="Q485" t="s">
        <v>727</v>
      </c>
      <c r="R485" t="s">
        <v>722</v>
      </c>
      <c r="S485" t="s">
        <v>715</v>
      </c>
    </row>
    <row r="486" spans="1:19" x14ac:dyDescent="0.4">
      <c r="A486" t="s">
        <v>1477</v>
      </c>
      <c r="B486" s="24">
        <v>1914</v>
      </c>
      <c r="C486" s="24">
        <v>1</v>
      </c>
      <c r="D486" s="24">
        <v>13</v>
      </c>
      <c r="E486" s="24">
        <v>20</v>
      </c>
      <c r="F486" s="24">
        <v>0</v>
      </c>
      <c r="G486" s="20">
        <f t="shared" si="115"/>
        <v>-1766116800</v>
      </c>
      <c r="H486" s="20">
        <v>1</v>
      </c>
      <c r="J486" t="s">
        <v>711</v>
      </c>
      <c r="K486" s="22" t="str">
        <f t="shared" si="113"/>
        <v>span</v>
      </c>
      <c r="M486" s="23">
        <f t="shared" si="118"/>
        <v>36</v>
      </c>
      <c r="N486" s="23">
        <f t="shared" si="116"/>
        <v>1.5563025007672873</v>
      </c>
      <c r="O486" t="s">
        <v>462</v>
      </c>
      <c r="P486">
        <v>4</v>
      </c>
      <c r="Q486" t="s">
        <v>733</v>
      </c>
      <c r="S486" t="s">
        <v>715</v>
      </c>
    </row>
    <row r="487" spans="1:19" x14ac:dyDescent="0.4">
      <c r="A487" t="s">
        <v>1477</v>
      </c>
      <c r="B487" s="24">
        <v>1914</v>
      </c>
      <c r="C487" s="24">
        <v>1</v>
      </c>
      <c r="D487" s="24">
        <v>13</v>
      </c>
      <c r="E487" s="24">
        <v>20</v>
      </c>
      <c r="G487" s="20">
        <f t="shared" si="115"/>
        <v>-1766116800</v>
      </c>
      <c r="J487" t="s">
        <v>711</v>
      </c>
      <c r="K487" s="22" t="str">
        <f t="shared" si="113"/>
        <v>point</v>
      </c>
      <c r="M487" s="23">
        <f t="shared" si="118"/>
        <v>36</v>
      </c>
      <c r="N487" s="23">
        <f t="shared" si="116"/>
        <v>1.5563025007672873</v>
      </c>
      <c r="O487" t="s">
        <v>462</v>
      </c>
      <c r="P487">
        <v>3</v>
      </c>
      <c r="Q487" t="s">
        <v>726</v>
      </c>
      <c r="S487" t="s">
        <v>715</v>
      </c>
    </row>
    <row r="488" spans="1:19" x14ac:dyDescent="0.4">
      <c r="A488" t="s">
        <v>1477</v>
      </c>
      <c r="B488" s="24">
        <v>1914</v>
      </c>
      <c r="C488" s="24">
        <v>1</v>
      </c>
      <c r="D488" s="24">
        <v>14</v>
      </c>
      <c r="G488" s="20">
        <f t="shared" si="115"/>
        <v>-1766059200</v>
      </c>
      <c r="J488" t="s">
        <v>711</v>
      </c>
      <c r="K488" s="22" t="str">
        <f t="shared" si="113"/>
        <v>point</v>
      </c>
      <c r="M488" s="23">
        <f t="shared" si="118"/>
        <v>52</v>
      </c>
      <c r="N488" s="23">
        <f t="shared" si="116"/>
        <v>1.7160033436347992</v>
      </c>
      <c r="O488" t="s">
        <v>462</v>
      </c>
      <c r="P488">
        <v>4</v>
      </c>
      <c r="Q488" t="s">
        <v>725</v>
      </c>
      <c r="S488" t="s">
        <v>715</v>
      </c>
    </row>
    <row r="489" spans="1:19" x14ac:dyDescent="0.4">
      <c r="A489" t="s">
        <v>1477</v>
      </c>
      <c r="B489" s="24">
        <v>1914</v>
      </c>
      <c r="C489" s="24">
        <v>1</v>
      </c>
      <c r="D489" s="24">
        <v>15</v>
      </c>
      <c r="E489" s="24">
        <v>10</v>
      </c>
      <c r="F489" s="24">
        <v>30</v>
      </c>
      <c r="G489" s="20">
        <f t="shared" si="115"/>
        <v>-1765978200</v>
      </c>
      <c r="J489" t="s">
        <v>711</v>
      </c>
      <c r="K489" s="22" t="str">
        <f t="shared" si="113"/>
        <v>point</v>
      </c>
      <c r="M489" s="23">
        <f t="shared" si="118"/>
        <v>74.5</v>
      </c>
      <c r="N489" s="23">
        <f t="shared" si="116"/>
        <v>1.8721562727482928</v>
      </c>
      <c r="O489" t="s">
        <v>462</v>
      </c>
      <c r="P489">
        <v>4</v>
      </c>
      <c r="Q489" t="s">
        <v>731</v>
      </c>
      <c r="S489" t="s">
        <v>715</v>
      </c>
    </row>
    <row r="490" spans="1:19" x14ac:dyDescent="0.4">
      <c r="A490" t="s">
        <v>1477</v>
      </c>
      <c r="B490" s="24">
        <v>1914</v>
      </c>
      <c r="C490" s="24">
        <v>1</v>
      </c>
      <c r="D490" s="24">
        <v>15</v>
      </c>
      <c r="E490" s="24">
        <v>10</v>
      </c>
      <c r="F490" s="24">
        <v>45</v>
      </c>
      <c r="G490" s="20">
        <f t="shared" si="115"/>
        <v>-1765977300</v>
      </c>
      <c r="H490" s="20">
        <v>3.75</v>
      </c>
      <c r="J490" t="s">
        <v>711</v>
      </c>
      <c r="K490" s="22" t="str">
        <f t="shared" si="113"/>
        <v>span</v>
      </c>
      <c r="M490" s="23">
        <f t="shared" si="118"/>
        <v>74.75</v>
      </c>
      <c r="N490" s="23">
        <f t="shared" si="116"/>
        <v>1.8736111969964673</v>
      </c>
      <c r="O490" t="s">
        <v>462</v>
      </c>
      <c r="P490">
        <v>4</v>
      </c>
      <c r="Q490" t="s">
        <v>732</v>
      </c>
      <c r="S490" t="s">
        <v>715</v>
      </c>
    </row>
    <row r="491" spans="1:19" x14ac:dyDescent="0.4">
      <c r="A491" t="s">
        <v>1477</v>
      </c>
      <c r="B491" s="24">
        <v>1914</v>
      </c>
      <c r="C491" s="24">
        <v>1</v>
      </c>
      <c r="D491" s="24">
        <v>15</v>
      </c>
      <c r="G491" s="20">
        <f t="shared" si="115"/>
        <v>-1765972800</v>
      </c>
      <c r="J491" t="s">
        <v>711</v>
      </c>
      <c r="K491" s="22" t="str">
        <f t="shared" si="113"/>
        <v>point</v>
      </c>
      <c r="M491" s="23">
        <f t="shared" si="118"/>
        <v>76</v>
      </c>
      <c r="N491" s="23">
        <f t="shared" si="116"/>
        <v>1.8808135922807914</v>
      </c>
      <c r="O491" t="s">
        <v>462</v>
      </c>
      <c r="P491">
        <v>4</v>
      </c>
      <c r="Q491" t="s">
        <v>734</v>
      </c>
      <c r="S491" t="s">
        <v>715</v>
      </c>
    </row>
    <row r="492" spans="1:19" x14ac:dyDescent="0.4">
      <c r="A492" t="s">
        <v>1477</v>
      </c>
      <c r="B492" s="24">
        <v>1914</v>
      </c>
      <c r="C492" s="24">
        <v>1</v>
      </c>
      <c r="D492" s="24">
        <v>15</v>
      </c>
      <c r="E492" s="24">
        <v>19</v>
      </c>
      <c r="G492" s="20">
        <f t="shared" si="115"/>
        <v>-1765947600</v>
      </c>
      <c r="J492" t="s">
        <v>711</v>
      </c>
      <c r="K492" s="22" t="str">
        <f t="shared" si="113"/>
        <v>point</v>
      </c>
      <c r="M492" s="23">
        <f t="shared" si="118"/>
        <v>83</v>
      </c>
      <c r="N492" s="23">
        <f t="shared" si="116"/>
        <v>1.919078092376074</v>
      </c>
      <c r="O492" t="s">
        <v>462</v>
      </c>
      <c r="P492">
        <v>3</v>
      </c>
      <c r="Q492" t="s">
        <v>735</v>
      </c>
      <c r="S492" t="s">
        <v>715</v>
      </c>
    </row>
    <row r="493" spans="1:19" x14ac:dyDescent="0.4">
      <c r="A493" t="s">
        <v>1477</v>
      </c>
      <c r="B493" s="24">
        <v>1914</v>
      </c>
      <c r="C493" s="24">
        <v>1</v>
      </c>
      <c r="D493" s="24">
        <v>15</v>
      </c>
      <c r="E493" s="24">
        <v>19</v>
      </c>
      <c r="G493" s="20">
        <f t="shared" si="115"/>
        <v>-1765947600</v>
      </c>
      <c r="J493" t="s">
        <v>711</v>
      </c>
      <c r="K493" s="22" t="str">
        <f t="shared" si="113"/>
        <v>point</v>
      </c>
      <c r="M493" s="23">
        <f t="shared" si="118"/>
        <v>83</v>
      </c>
      <c r="N493" s="23">
        <f t="shared" si="116"/>
        <v>1.919078092376074</v>
      </c>
      <c r="O493" t="s">
        <v>462</v>
      </c>
      <c r="P493">
        <v>3</v>
      </c>
      <c r="Q493" t="s">
        <v>736</v>
      </c>
      <c r="S493" t="s">
        <v>715</v>
      </c>
    </row>
    <row r="494" spans="1:19" x14ac:dyDescent="0.4">
      <c r="A494" t="s">
        <v>1477</v>
      </c>
      <c r="B494" s="24">
        <v>1914</v>
      </c>
      <c r="C494" s="24">
        <v>1</v>
      </c>
      <c r="D494" s="24">
        <v>17</v>
      </c>
      <c r="E494" s="24">
        <v>4</v>
      </c>
      <c r="G494" s="20">
        <f t="shared" si="115"/>
        <v>-1765828800</v>
      </c>
      <c r="H494" s="20">
        <v>14</v>
      </c>
      <c r="J494" t="s">
        <v>711</v>
      </c>
      <c r="K494" s="22" t="str">
        <f t="shared" si="113"/>
        <v>span</v>
      </c>
      <c r="M494" s="23">
        <f t="shared" si="118"/>
        <v>116</v>
      </c>
      <c r="N494" s="23">
        <f t="shared" si="116"/>
        <v>2.0644579892269186</v>
      </c>
      <c r="O494" t="s">
        <v>462</v>
      </c>
      <c r="P494">
        <v>5</v>
      </c>
      <c r="Q494" t="s">
        <v>737</v>
      </c>
      <c r="S494" t="s">
        <v>715</v>
      </c>
    </row>
    <row r="495" spans="1:19" x14ac:dyDescent="0.4">
      <c r="A495" t="s">
        <v>1477</v>
      </c>
      <c r="B495" s="24">
        <v>1914</v>
      </c>
      <c r="C495" s="24">
        <v>1</v>
      </c>
      <c r="D495" s="24">
        <v>18</v>
      </c>
      <c r="G495" s="20">
        <f t="shared" si="115"/>
        <v>-1765713600</v>
      </c>
      <c r="J495" t="s">
        <v>711</v>
      </c>
      <c r="K495" s="22" t="str">
        <f t="shared" si="113"/>
        <v>point</v>
      </c>
      <c r="M495" s="23">
        <f t="shared" si="118"/>
        <v>148</v>
      </c>
      <c r="N495" s="23">
        <f t="shared" si="116"/>
        <v>2.1702617153949575</v>
      </c>
      <c r="O495" t="s">
        <v>462</v>
      </c>
      <c r="P495">
        <v>4</v>
      </c>
      <c r="Q495" t="s">
        <v>738</v>
      </c>
      <c r="S495" t="s">
        <v>715</v>
      </c>
    </row>
    <row r="496" spans="1:19" x14ac:dyDescent="0.4">
      <c r="A496" t="s">
        <v>1477</v>
      </c>
      <c r="B496" s="24">
        <v>1914</v>
      </c>
      <c r="C496" s="24">
        <v>1</v>
      </c>
      <c r="D496" s="24">
        <v>20</v>
      </c>
      <c r="G496" s="20">
        <f t="shared" si="115"/>
        <v>-1765540800</v>
      </c>
      <c r="J496" t="s">
        <v>711</v>
      </c>
      <c r="K496" s="22" t="str">
        <f t="shared" si="113"/>
        <v>point</v>
      </c>
      <c r="M496" s="23">
        <f t="shared" si="118"/>
        <v>196</v>
      </c>
      <c r="N496" s="23">
        <f t="shared" si="116"/>
        <v>2.2922560713564759</v>
      </c>
      <c r="O496" t="s">
        <v>462</v>
      </c>
      <c r="P496">
        <v>4</v>
      </c>
      <c r="Q496" t="s">
        <v>739</v>
      </c>
      <c r="S496" t="s">
        <v>715</v>
      </c>
    </row>
    <row r="497" spans="1:19" x14ac:dyDescent="0.4">
      <c r="A497" t="s">
        <v>1477</v>
      </c>
      <c r="B497" s="24">
        <v>1914</v>
      </c>
      <c r="C497" s="24">
        <v>1</v>
      </c>
      <c r="D497" s="24">
        <v>21</v>
      </c>
      <c r="G497" s="20">
        <f t="shared" si="115"/>
        <v>-1765454400</v>
      </c>
      <c r="J497" t="s">
        <v>711</v>
      </c>
      <c r="K497" s="22" t="str">
        <f t="shared" si="113"/>
        <v>point</v>
      </c>
      <c r="M497" s="23">
        <f t="shared" si="118"/>
        <v>220</v>
      </c>
      <c r="N497" s="23">
        <f t="shared" si="116"/>
        <v>2.3424226808222062</v>
      </c>
      <c r="O497" t="s">
        <v>462</v>
      </c>
      <c r="P497">
        <v>5</v>
      </c>
      <c r="Q497" t="s">
        <v>740</v>
      </c>
      <c r="S497" t="s">
        <v>715</v>
      </c>
    </row>
    <row r="498" spans="1:19" x14ac:dyDescent="0.4">
      <c r="A498" t="s">
        <v>1477</v>
      </c>
      <c r="B498" s="24">
        <v>1914</v>
      </c>
      <c r="C498" s="24">
        <v>1</v>
      </c>
      <c r="D498" s="24">
        <v>21</v>
      </c>
      <c r="E498" s="24">
        <v>18</v>
      </c>
      <c r="G498" s="20">
        <f t="shared" si="115"/>
        <v>-1765432800</v>
      </c>
      <c r="H498" s="20">
        <v>35</v>
      </c>
      <c r="J498" t="s">
        <v>711</v>
      </c>
      <c r="K498" s="22" t="str">
        <f t="shared" si="113"/>
        <v>span</v>
      </c>
      <c r="M498" s="23">
        <f t="shared" si="118"/>
        <v>226</v>
      </c>
      <c r="N498" s="23">
        <f t="shared" si="116"/>
        <v>2.3541084391474008</v>
      </c>
      <c r="O498" t="s">
        <v>462</v>
      </c>
      <c r="P498">
        <v>4</v>
      </c>
      <c r="Q498" t="s">
        <v>741</v>
      </c>
      <c r="S498" t="s">
        <v>715</v>
      </c>
    </row>
    <row r="499" spans="1:19" x14ac:dyDescent="0.4">
      <c r="A499" t="s">
        <v>1477</v>
      </c>
      <c r="B499" s="24">
        <v>1914</v>
      </c>
      <c r="C499" s="24">
        <v>1</v>
      </c>
      <c r="D499" s="24">
        <v>24</v>
      </c>
      <c r="G499" s="20">
        <f t="shared" si="115"/>
        <v>-1765195200</v>
      </c>
      <c r="H499" s="20">
        <f>48*24</f>
        <v>1152</v>
      </c>
      <c r="J499" t="s">
        <v>711</v>
      </c>
      <c r="K499" s="22" t="str">
        <f t="shared" si="113"/>
        <v>span</v>
      </c>
      <c r="M499" s="23">
        <f t="shared" si="118"/>
        <v>292</v>
      </c>
      <c r="N499" s="23">
        <f t="shared" si="116"/>
        <v>2.4653828514484184</v>
      </c>
      <c r="O499" t="s">
        <v>462</v>
      </c>
      <c r="P499">
        <v>3</v>
      </c>
      <c r="Q499" t="s">
        <v>743</v>
      </c>
      <c r="S499" t="s">
        <v>715</v>
      </c>
    </row>
    <row r="500" spans="1:19" x14ac:dyDescent="0.4">
      <c r="A500" t="s">
        <v>1477</v>
      </c>
      <c r="B500" s="24">
        <v>1914</v>
      </c>
      <c r="C500" s="24">
        <v>1</v>
      </c>
      <c r="D500" s="24">
        <v>25</v>
      </c>
      <c r="G500" s="20">
        <f t="shared" si="115"/>
        <v>-1765108800</v>
      </c>
      <c r="H500" s="20">
        <f>140*24</f>
        <v>3360</v>
      </c>
      <c r="J500" t="s">
        <v>711</v>
      </c>
      <c r="K500" s="22" t="str">
        <f t="shared" si="113"/>
        <v>span</v>
      </c>
      <c r="M500" s="23">
        <f t="shared" si="118"/>
        <v>316</v>
      </c>
      <c r="N500" s="23">
        <f t="shared" si="116"/>
        <v>2.4996870826184039</v>
      </c>
      <c r="O500" t="s">
        <v>462</v>
      </c>
      <c r="P500">
        <v>4</v>
      </c>
      <c r="Q500" t="s">
        <v>746</v>
      </c>
      <c r="S500" t="s">
        <v>715</v>
      </c>
    </row>
    <row r="501" spans="1:19" x14ac:dyDescent="0.4">
      <c r="A501" t="s">
        <v>1477</v>
      </c>
      <c r="B501" s="24">
        <v>1914</v>
      </c>
      <c r="C501" s="24">
        <v>1</v>
      </c>
      <c r="D501" s="24">
        <v>29</v>
      </c>
      <c r="E501" s="24">
        <v>14</v>
      </c>
      <c r="G501" s="20">
        <f t="shared" si="115"/>
        <v>-1764756000</v>
      </c>
      <c r="J501" t="s">
        <v>711</v>
      </c>
      <c r="K501" s="22" t="str">
        <f t="shared" si="113"/>
        <v>point</v>
      </c>
      <c r="M501" s="23">
        <f t="shared" si="118"/>
        <v>414</v>
      </c>
      <c r="N501" s="23">
        <f t="shared" si="116"/>
        <v>2.6170003411208991</v>
      </c>
      <c r="O501" t="s">
        <v>462</v>
      </c>
      <c r="P501">
        <v>-1</v>
      </c>
      <c r="Q501" t="s">
        <v>744</v>
      </c>
      <c r="S501" t="s">
        <v>715</v>
      </c>
    </row>
    <row r="502" spans="1:19" x14ac:dyDescent="0.4">
      <c r="A502" t="s">
        <v>1477</v>
      </c>
      <c r="B502" s="24">
        <v>1914</v>
      </c>
      <c r="C502" s="24">
        <v>3</v>
      </c>
      <c r="D502" s="24">
        <v>16</v>
      </c>
      <c r="G502" s="20">
        <f t="shared" si="115"/>
        <v>-1760788800</v>
      </c>
      <c r="J502" t="s">
        <v>711</v>
      </c>
      <c r="K502" s="22" t="str">
        <f t="shared" si="113"/>
        <v>point</v>
      </c>
      <c r="M502" s="23">
        <f t="shared" si="118"/>
        <v>1516</v>
      </c>
      <c r="N502" s="23">
        <f t="shared" si="116"/>
        <v>3.1806992012960347</v>
      </c>
      <c r="O502" t="s">
        <v>462</v>
      </c>
      <c r="P502">
        <v>2</v>
      </c>
      <c r="Q502" t="s">
        <v>745</v>
      </c>
      <c r="S502" t="s">
        <v>715</v>
      </c>
    </row>
    <row r="503" spans="1:19" x14ac:dyDescent="0.4">
      <c r="A503" t="s">
        <v>1477</v>
      </c>
      <c r="B503" s="24">
        <v>1914</v>
      </c>
      <c r="C503" s="24">
        <v>6</v>
      </c>
      <c r="G503" s="20">
        <f t="shared" si="115"/>
        <v>-1752883200</v>
      </c>
      <c r="H503" s="20">
        <f>6*30*24</f>
        <v>4320</v>
      </c>
      <c r="J503" t="s">
        <v>711</v>
      </c>
      <c r="K503" s="22" t="str">
        <f t="shared" si="113"/>
        <v>span</v>
      </c>
      <c r="M503" s="23">
        <f t="shared" si="118"/>
        <v>3712</v>
      </c>
      <c r="N503" s="23">
        <f t="shared" si="116"/>
        <v>3.5696079675468244</v>
      </c>
      <c r="O503" t="s">
        <v>462</v>
      </c>
      <c r="P503">
        <v>3</v>
      </c>
      <c r="Q503" t="s">
        <v>747</v>
      </c>
      <c r="S503" t="s">
        <v>715</v>
      </c>
    </row>
    <row r="504" spans="1:19" x14ac:dyDescent="0.4">
      <c r="A504" t="s">
        <v>1477</v>
      </c>
      <c r="B504" s="24">
        <v>1914</v>
      </c>
      <c r="C504" s="24">
        <v>12</v>
      </c>
      <c r="G504" s="20">
        <f t="shared" si="115"/>
        <v>-1737072000</v>
      </c>
      <c r="J504" t="s">
        <v>711</v>
      </c>
      <c r="K504" s="22" t="str">
        <f t="shared" si="113"/>
        <v>point</v>
      </c>
      <c r="L504" s="20" t="s">
        <v>749</v>
      </c>
      <c r="M504" s="23">
        <f t="shared" si="118"/>
        <v>8104</v>
      </c>
      <c r="N504" s="23">
        <f t="shared" si="116"/>
        <v>3.9086994323522242</v>
      </c>
      <c r="O504" t="s">
        <v>462</v>
      </c>
      <c r="P504">
        <v>2</v>
      </c>
      <c r="Q504" t="s">
        <v>750</v>
      </c>
      <c r="S504" t="s">
        <v>715</v>
      </c>
    </row>
    <row r="505" spans="1:19" x14ac:dyDescent="0.4">
      <c r="A505" t="s">
        <v>1477</v>
      </c>
      <c r="B505" s="24">
        <v>1935</v>
      </c>
      <c r="C505" s="24">
        <v>9</v>
      </c>
      <c r="G505" s="20">
        <f t="shared" si="115"/>
        <v>-1082246400</v>
      </c>
      <c r="H505" s="20">
        <f>30*24</f>
        <v>720</v>
      </c>
      <c r="J505" t="s">
        <v>656</v>
      </c>
      <c r="K505" s="22" t="str">
        <f t="shared" ref="K505:K510" si="119">IF(H505="",IF(I505="","point","middle"),"span")</f>
        <v>span</v>
      </c>
      <c r="M505" s="23">
        <f t="shared" si="118"/>
        <v>190000</v>
      </c>
      <c r="N505" s="23">
        <f t="shared" si="116"/>
        <v>5.2787536009528289</v>
      </c>
      <c r="O505" t="s">
        <v>462</v>
      </c>
      <c r="P505">
        <v>4</v>
      </c>
      <c r="Q505" t="s">
        <v>1030</v>
      </c>
      <c r="S505" t="s">
        <v>993</v>
      </c>
    </row>
    <row r="506" spans="1:19" x14ac:dyDescent="0.4">
      <c r="A506" t="s">
        <v>1477</v>
      </c>
      <c r="B506" s="24">
        <v>1938</v>
      </c>
      <c r="C506" s="24">
        <v>3</v>
      </c>
      <c r="G506" s="20">
        <f t="shared" si="115"/>
        <v>-1003449600</v>
      </c>
      <c r="H506" s="20">
        <f>52*30*24</f>
        <v>37440</v>
      </c>
      <c r="J506" t="s">
        <v>656</v>
      </c>
      <c r="K506" s="22" t="str">
        <f t="shared" si="119"/>
        <v>span</v>
      </c>
      <c r="M506" s="23">
        <f t="shared" si="118"/>
        <v>211888</v>
      </c>
      <c r="N506" s="23">
        <f t="shared" si="116"/>
        <v>5.3261063617067634</v>
      </c>
      <c r="O506" t="s">
        <v>462</v>
      </c>
      <c r="P506">
        <v>4</v>
      </c>
      <c r="Q506" t="s">
        <v>1031</v>
      </c>
      <c r="S506" t="s">
        <v>993</v>
      </c>
    </row>
    <row r="507" spans="1:19" x14ac:dyDescent="0.4">
      <c r="A507" t="s">
        <v>1477</v>
      </c>
      <c r="B507" s="24">
        <v>1943</v>
      </c>
      <c r="G507" s="20">
        <f t="shared" si="115"/>
        <v>-836438400</v>
      </c>
      <c r="H507" s="20">
        <f>2*365*24</f>
        <v>17520</v>
      </c>
      <c r="J507" t="s">
        <v>656</v>
      </c>
      <c r="K507" s="22" t="str">
        <f t="shared" si="119"/>
        <v>span</v>
      </c>
      <c r="M507" s="23">
        <f t="shared" si="118"/>
        <v>258280</v>
      </c>
      <c r="N507" s="23">
        <f t="shared" si="116"/>
        <v>5.4120907777338019</v>
      </c>
      <c r="O507" t="s">
        <v>462</v>
      </c>
      <c r="P507">
        <v>3</v>
      </c>
      <c r="Q507" t="s">
        <v>1032</v>
      </c>
      <c r="S507" t="s">
        <v>993</v>
      </c>
    </row>
    <row r="508" spans="1:19" x14ac:dyDescent="0.4">
      <c r="A508" t="s">
        <v>1477</v>
      </c>
      <c r="B508" s="24">
        <v>1946</v>
      </c>
      <c r="C508" s="24">
        <v>1</v>
      </c>
      <c r="G508" s="20">
        <f t="shared" si="115"/>
        <v>-756086400</v>
      </c>
      <c r="H508" s="20">
        <f>10*30*24</f>
        <v>7200</v>
      </c>
      <c r="J508" t="s">
        <v>656</v>
      </c>
      <c r="K508" s="22" t="str">
        <f t="shared" si="119"/>
        <v>span</v>
      </c>
      <c r="M508" s="23">
        <f t="shared" si="118"/>
        <v>280600</v>
      </c>
      <c r="N508" s="23">
        <f t="shared" si="116"/>
        <v>5.4480876666923415</v>
      </c>
      <c r="O508" t="s">
        <v>462</v>
      </c>
      <c r="P508">
        <v>4</v>
      </c>
      <c r="Q508" t="s">
        <v>1033</v>
      </c>
      <c r="S508" t="s">
        <v>993</v>
      </c>
    </row>
    <row r="509" spans="1:19" x14ac:dyDescent="0.4">
      <c r="A509" t="s">
        <v>1477</v>
      </c>
      <c r="B509" s="24">
        <v>1946</v>
      </c>
      <c r="C509" s="24">
        <v>3</v>
      </c>
      <c r="D509" s="24">
        <v>9</v>
      </c>
      <c r="G509" s="20">
        <f t="shared" si="115"/>
        <v>-751550400</v>
      </c>
      <c r="H509" s="20">
        <f>73*24</f>
        <v>1752</v>
      </c>
      <c r="J509" t="s">
        <v>656</v>
      </c>
      <c r="K509" s="22" t="str">
        <f t="shared" si="119"/>
        <v>span</v>
      </c>
      <c r="M509" s="23">
        <f t="shared" si="118"/>
        <v>281860</v>
      </c>
      <c r="N509" s="23">
        <f t="shared" si="116"/>
        <v>5.4500334475925287</v>
      </c>
      <c r="O509" t="s">
        <v>462</v>
      </c>
      <c r="P509">
        <v>3</v>
      </c>
      <c r="Q509" t="s">
        <v>1034</v>
      </c>
      <c r="S509" t="s">
        <v>993</v>
      </c>
    </row>
    <row r="510" spans="1:19" x14ac:dyDescent="0.4">
      <c r="A510" t="s">
        <v>1477</v>
      </c>
      <c r="B510" s="24">
        <v>1954</v>
      </c>
      <c r="G510" s="20">
        <f t="shared" si="115"/>
        <v>-489283200</v>
      </c>
      <c r="H510" s="20">
        <f>61*365*24</f>
        <v>534360</v>
      </c>
      <c r="J510" t="s">
        <v>656</v>
      </c>
      <c r="K510" s="22" t="str">
        <f t="shared" si="119"/>
        <v>span</v>
      </c>
      <c r="M510" s="23">
        <f t="shared" si="118"/>
        <v>354712</v>
      </c>
      <c r="N510" s="23">
        <f t="shared" si="116"/>
        <v>5.5498758810167077</v>
      </c>
      <c r="O510" t="s">
        <v>462</v>
      </c>
      <c r="P510">
        <v>4</v>
      </c>
      <c r="Q510" t="s">
        <v>1029</v>
      </c>
      <c r="S510" t="s">
        <v>993</v>
      </c>
    </row>
    <row r="511" spans="1:19" x14ac:dyDescent="0.4">
      <c r="A511" t="s">
        <v>1423</v>
      </c>
      <c r="B511" s="20">
        <v>1582</v>
      </c>
      <c r="C511" s="24">
        <v>2</v>
      </c>
      <c r="D511" s="24">
        <v>16</v>
      </c>
      <c r="G511" s="20">
        <f t="shared" si="115"/>
        <v>47718158400</v>
      </c>
      <c r="H511" s="20">
        <f>5*30*24</f>
        <v>3600</v>
      </c>
      <c r="J511" t="s">
        <v>656</v>
      </c>
      <c r="K511" s="22" t="str">
        <f t="shared" ref="K511:K574" si="120">IF(H511="",IF(I511="","point","middle"),"span")</f>
        <v>span</v>
      </c>
      <c r="M511" s="23">
        <f t="shared" ref="M511:M566" si="121">(G511-54075567600)/3600</f>
        <v>-1765947</v>
      </c>
      <c r="N511" s="23">
        <f t="shared" si="116"/>
        <v>-6.2469776652931115</v>
      </c>
      <c r="O511" t="s">
        <v>462</v>
      </c>
      <c r="P511">
        <v>4</v>
      </c>
      <c r="Q511" t="s">
        <v>955</v>
      </c>
      <c r="S511" t="s">
        <v>993</v>
      </c>
    </row>
    <row r="512" spans="1:19" x14ac:dyDescent="0.4">
      <c r="A512" t="s">
        <v>1423</v>
      </c>
      <c r="B512" s="20">
        <v>1590</v>
      </c>
      <c r="G512" s="20">
        <f t="shared" si="115"/>
        <v>47982240000</v>
      </c>
      <c r="J512" t="s">
        <v>656</v>
      </c>
      <c r="K512" s="22" t="str">
        <f t="shared" si="120"/>
        <v>point</v>
      </c>
      <c r="M512" s="23">
        <f t="shared" si="121"/>
        <v>-1692591</v>
      </c>
      <c r="N512" s="23">
        <f t="shared" si="116"/>
        <v>-6.2285520272747252</v>
      </c>
      <c r="O512" t="s">
        <v>462</v>
      </c>
      <c r="P512">
        <v>4</v>
      </c>
      <c r="S512" t="s">
        <v>993</v>
      </c>
    </row>
    <row r="513" spans="1:19" x14ac:dyDescent="0.4">
      <c r="A513" t="s">
        <v>1423</v>
      </c>
      <c r="B513" s="20">
        <v>1591</v>
      </c>
      <c r="C513" s="24">
        <v>11</v>
      </c>
      <c r="D513" s="24">
        <v>29</v>
      </c>
      <c r="G513" s="20">
        <f t="shared" si="115"/>
        <v>48026865600</v>
      </c>
      <c r="J513" t="s">
        <v>656</v>
      </c>
      <c r="K513" s="22" t="str">
        <f t="shared" si="120"/>
        <v>point</v>
      </c>
      <c r="M513" s="23">
        <f t="shared" si="121"/>
        <v>-1680195</v>
      </c>
      <c r="N513" s="23">
        <f t="shared" si="116"/>
        <v>-6.2253596879814914</v>
      </c>
      <c r="O513" t="s">
        <v>462</v>
      </c>
      <c r="P513">
        <v>4</v>
      </c>
      <c r="Q513" t="s">
        <v>955</v>
      </c>
      <c r="S513" t="s">
        <v>993</v>
      </c>
    </row>
    <row r="514" spans="1:19" x14ac:dyDescent="0.4">
      <c r="A514" t="s">
        <v>1423</v>
      </c>
      <c r="B514" s="20">
        <v>1595</v>
      </c>
      <c r="C514" s="24">
        <v>6</v>
      </c>
      <c r="D514" s="24">
        <v>1</v>
      </c>
      <c r="G514" s="20">
        <f t="shared" si="115"/>
        <v>48137457600</v>
      </c>
      <c r="J514" t="s">
        <v>656</v>
      </c>
      <c r="K514" s="22" t="str">
        <f t="shared" si="120"/>
        <v>point</v>
      </c>
      <c r="M514" s="23">
        <f t="shared" si="121"/>
        <v>-1649475</v>
      </c>
      <c r="N514" s="23">
        <f t="shared" si="116"/>
        <v>-6.2173457376174488</v>
      </c>
      <c r="O514" t="s">
        <v>462</v>
      </c>
      <c r="P514">
        <v>4</v>
      </c>
      <c r="Q514" t="s">
        <v>955</v>
      </c>
      <c r="S514" t="s">
        <v>993</v>
      </c>
    </row>
    <row r="515" spans="1:19" x14ac:dyDescent="0.4">
      <c r="A515" t="s">
        <v>1423</v>
      </c>
      <c r="B515" s="20">
        <v>1596</v>
      </c>
      <c r="C515" s="24">
        <v>5</v>
      </c>
      <c r="D515" s="24">
        <v>1</v>
      </c>
      <c r="G515" s="20">
        <f t="shared" si="115"/>
        <v>48166401600</v>
      </c>
      <c r="H515" s="20">
        <f>4*30*24</f>
        <v>2880</v>
      </c>
      <c r="J515" t="s">
        <v>656</v>
      </c>
      <c r="K515" s="22" t="str">
        <f t="shared" si="120"/>
        <v>span</v>
      </c>
      <c r="M515" s="23">
        <f t="shared" si="121"/>
        <v>-1641435</v>
      </c>
      <c r="N515" s="23">
        <f t="shared" si="116"/>
        <v>-6.215223689562924</v>
      </c>
      <c r="O515" t="s">
        <v>462</v>
      </c>
      <c r="P515">
        <v>4</v>
      </c>
      <c r="Q515" t="s">
        <v>967</v>
      </c>
      <c r="S515" t="s">
        <v>993</v>
      </c>
    </row>
    <row r="516" spans="1:19" x14ac:dyDescent="0.4">
      <c r="A516" t="s">
        <v>1423</v>
      </c>
      <c r="B516" s="24">
        <v>1596</v>
      </c>
      <c r="C516" s="24">
        <v>5</v>
      </c>
      <c r="D516" s="24">
        <v>5</v>
      </c>
      <c r="G516" s="20">
        <f t="shared" si="115"/>
        <v>48166747200</v>
      </c>
      <c r="J516" t="s">
        <v>656</v>
      </c>
      <c r="K516" s="22" t="str">
        <f t="shared" si="120"/>
        <v>point</v>
      </c>
      <c r="M516" s="23">
        <f t="shared" si="121"/>
        <v>-1641339</v>
      </c>
      <c r="N516" s="23">
        <f t="shared" si="116"/>
        <v>-6.2151982889290247</v>
      </c>
      <c r="O516" t="s">
        <v>462</v>
      </c>
      <c r="P516">
        <v>5</v>
      </c>
      <c r="Q516" t="s">
        <v>966</v>
      </c>
      <c r="S516" t="s">
        <v>993</v>
      </c>
    </row>
    <row r="517" spans="1:19" x14ac:dyDescent="0.4">
      <c r="A517" t="s">
        <v>1423</v>
      </c>
      <c r="B517" s="20">
        <v>1597</v>
      </c>
      <c r="C517" s="24">
        <v>4</v>
      </c>
      <c r="D517" s="24">
        <v>17</v>
      </c>
      <c r="G517" s="20">
        <f t="shared" si="115"/>
        <v>48196728000</v>
      </c>
      <c r="J517" t="s">
        <v>656</v>
      </c>
      <c r="K517" s="22" t="str">
        <f t="shared" si="120"/>
        <v>point</v>
      </c>
      <c r="M517" s="23">
        <f t="shared" si="121"/>
        <v>-1633011</v>
      </c>
      <c r="N517" s="23">
        <f t="shared" si="116"/>
        <v>-6.2129891101642318</v>
      </c>
      <c r="O517" t="s">
        <v>462</v>
      </c>
      <c r="P517">
        <v>4</v>
      </c>
      <c r="Q517" t="s">
        <v>959</v>
      </c>
      <c r="S517" t="s">
        <v>993</v>
      </c>
    </row>
    <row r="518" spans="1:19" x14ac:dyDescent="0.4">
      <c r="A518" t="s">
        <v>1423</v>
      </c>
      <c r="B518" s="20">
        <v>1600</v>
      </c>
      <c r="C518" s="24">
        <v>1</v>
      </c>
      <c r="D518" s="24">
        <v>14</v>
      </c>
      <c r="G518" s="20">
        <f t="shared" si="115"/>
        <v>48283300800</v>
      </c>
      <c r="H518" s="20">
        <f>11*24</f>
        <v>264</v>
      </c>
      <c r="J518" t="s">
        <v>656</v>
      </c>
      <c r="K518" s="22" t="str">
        <f t="shared" si="120"/>
        <v>span</v>
      </c>
      <c r="M518" s="23">
        <f t="shared" si="121"/>
        <v>-1608963</v>
      </c>
      <c r="N518" s="23">
        <f t="shared" si="116"/>
        <v>-6.2065460571005273</v>
      </c>
      <c r="O518" t="s">
        <v>462</v>
      </c>
      <c r="P518">
        <v>4</v>
      </c>
      <c r="Q518" t="s">
        <v>959</v>
      </c>
      <c r="S518" t="s">
        <v>993</v>
      </c>
    </row>
    <row r="519" spans="1:19" x14ac:dyDescent="0.4">
      <c r="A519" t="s">
        <v>1423</v>
      </c>
      <c r="B519" s="20">
        <v>1605</v>
      </c>
      <c r="C519" s="24">
        <v>12</v>
      </c>
      <c r="G519" s="20">
        <f t="shared" si="115"/>
        <v>48470054400</v>
      </c>
      <c r="H519" s="20">
        <f>3*30</f>
        <v>90</v>
      </c>
      <c r="J519" t="s">
        <v>656</v>
      </c>
      <c r="K519" s="22" t="str">
        <f t="shared" si="120"/>
        <v>span</v>
      </c>
      <c r="M519" s="23">
        <f t="shared" si="121"/>
        <v>-1557087</v>
      </c>
      <c r="N519" s="23">
        <f t="shared" si="116"/>
        <v>-6.1923128788265362</v>
      </c>
      <c r="O519" t="s">
        <v>462</v>
      </c>
      <c r="P519">
        <v>4</v>
      </c>
      <c r="S519" t="s">
        <v>993</v>
      </c>
    </row>
    <row r="520" spans="1:19" x14ac:dyDescent="0.4">
      <c r="A520" t="s">
        <v>1423</v>
      </c>
      <c r="B520" s="20">
        <v>1609</v>
      </c>
      <c r="C520" s="24">
        <v>4</v>
      </c>
      <c r="D520" s="24">
        <v>5</v>
      </c>
      <c r="G520" s="20">
        <f t="shared" si="115"/>
        <v>48574296000</v>
      </c>
      <c r="J520" t="s">
        <v>656</v>
      </c>
      <c r="K520" s="22" t="str">
        <f t="shared" si="120"/>
        <v>point</v>
      </c>
      <c r="M520" s="23">
        <f t="shared" si="121"/>
        <v>-1528131</v>
      </c>
      <c r="N520" s="23">
        <f t="shared" si="116"/>
        <v>-6.1841605860056941</v>
      </c>
      <c r="O520" t="s">
        <v>462</v>
      </c>
      <c r="P520">
        <v>4</v>
      </c>
      <c r="S520" t="s">
        <v>993</v>
      </c>
    </row>
    <row r="521" spans="1:19" x14ac:dyDescent="0.4">
      <c r="A521" t="s">
        <v>1423</v>
      </c>
      <c r="B521" s="20">
        <v>1644</v>
      </c>
      <c r="C521" s="24">
        <v>2</v>
      </c>
      <c r="D521" s="24">
        <v>20</v>
      </c>
      <c r="G521" s="20">
        <f t="shared" si="115"/>
        <v>49674945600</v>
      </c>
      <c r="J521" t="s">
        <v>656</v>
      </c>
      <c r="K521" s="22" t="str">
        <f t="shared" si="120"/>
        <v>point</v>
      </c>
      <c r="M521" s="23">
        <f t="shared" si="121"/>
        <v>-1222395</v>
      </c>
      <c r="N521" s="23">
        <f t="shared" si="116"/>
        <v>-6.0872115648271228</v>
      </c>
      <c r="O521" t="s">
        <v>462</v>
      </c>
      <c r="P521">
        <v>4</v>
      </c>
      <c r="S521" t="s">
        <v>993</v>
      </c>
    </row>
    <row r="522" spans="1:19" x14ac:dyDescent="0.4">
      <c r="A522" t="s">
        <v>1423</v>
      </c>
      <c r="B522" s="20">
        <v>1645</v>
      </c>
      <c r="C522" s="24">
        <v>5</v>
      </c>
      <c r="D522" s="24">
        <v>21</v>
      </c>
      <c r="G522" s="20">
        <f t="shared" si="115"/>
        <v>49714344000</v>
      </c>
      <c r="J522" t="s">
        <v>656</v>
      </c>
      <c r="K522" s="22" t="str">
        <f t="shared" si="120"/>
        <v>point</v>
      </c>
      <c r="M522" s="23">
        <f t="shared" si="121"/>
        <v>-1211451</v>
      </c>
      <c r="N522" s="23">
        <f t="shared" si="116"/>
        <v>-6.0833058527616171</v>
      </c>
      <c r="O522" t="s">
        <v>462</v>
      </c>
      <c r="P522">
        <v>4</v>
      </c>
      <c r="S522" t="s">
        <v>993</v>
      </c>
    </row>
    <row r="523" spans="1:19" x14ac:dyDescent="0.4">
      <c r="A523" t="s">
        <v>1423</v>
      </c>
      <c r="B523" s="20">
        <v>1647</v>
      </c>
      <c r="C523" s="24">
        <v>2</v>
      </c>
      <c r="D523" s="24">
        <v>18</v>
      </c>
      <c r="G523" s="20">
        <f t="shared" si="115"/>
        <v>49769467200</v>
      </c>
      <c r="H523" s="20">
        <f>35*24</f>
        <v>840</v>
      </c>
      <c r="J523" t="s">
        <v>656</v>
      </c>
      <c r="K523" s="22" t="str">
        <f t="shared" si="120"/>
        <v>span</v>
      </c>
      <c r="M523" s="23">
        <f t="shared" si="121"/>
        <v>-1196139</v>
      </c>
      <c r="N523" s="23">
        <f t="shared" si="116"/>
        <v>-6.0777816507437894</v>
      </c>
      <c r="O523" t="s">
        <v>462</v>
      </c>
      <c r="P523">
        <v>4</v>
      </c>
      <c r="S523" t="s">
        <v>993</v>
      </c>
    </row>
    <row r="524" spans="1:19" x14ac:dyDescent="0.4">
      <c r="A524" t="s">
        <v>1423</v>
      </c>
      <c r="B524" s="20">
        <v>1648</v>
      </c>
      <c r="C524" s="24">
        <v>3</v>
      </c>
      <c r="D524" s="24">
        <v>20</v>
      </c>
      <c r="G524" s="20">
        <f t="shared" si="115"/>
        <v>49803681600</v>
      </c>
      <c r="H524" s="20">
        <f>160*24</f>
        <v>3840</v>
      </c>
      <c r="J524" t="s">
        <v>656</v>
      </c>
      <c r="K524" s="22" t="str">
        <f t="shared" si="120"/>
        <v>span</v>
      </c>
      <c r="M524" s="23">
        <f t="shared" si="121"/>
        <v>-1186635</v>
      </c>
      <c r="N524" s="23">
        <f t="shared" si="116"/>
        <v>-6.0743171537795373</v>
      </c>
      <c r="O524" t="s">
        <v>462</v>
      </c>
      <c r="P524">
        <v>4</v>
      </c>
      <c r="Q524" t="s">
        <v>965</v>
      </c>
      <c r="S524" t="s">
        <v>993</v>
      </c>
    </row>
    <row r="525" spans="1:19" x14ac:dyDescent="0.4">
      <c r="A525" t="s">
        <v>1423</v>
      </c>
      <c r="B525" s="20">
        <v>1649</v>
      </c>
      <c r="C525" s="24">
        <v>8</v>
      </c>
      <c r="D525" s="24">
        <v>18</v>
      </c>
      <c r="G525" s="20">
        <f t="shared" si="115"/>
        <v>49848264000</v>
      </c>
      <c r="H525" s="20">
        <v>24</v>
      </c>
      <c r="J525" t="s">
        <v>656</v>
      </c>
      <c r="K525" s="22" t="str">
        <f t="shared" si="120"/>
        <v>span</v>
      </c>
      <c r="M525" s="23">
        <f t="shared" si="121"/>
        <v>-1174251</v>
      </c>
      <c r="N525" s="23">
        <f t="shared" si="116"/>
        <v>-6.0697609387035278</v>
      </c>
      <c r="O525" t="s">
        <v>462</v>
      </c>
      <c r="P525">
        <v>4</v>
      </c>
      <c r="S525" t="s">
        <v>993</v>
      </c>
    </row>
    <row r="526" spans="1:19" x14ac:dyDescent="0.4">
      <c r="A526" t="s">
        <v>1423</v>
      </c>
      <c r="B526" s="20">
        <v>1650</v>
      </c>
      <c r="C526" s="24">
        <v>6</v>
      </c>
      <c r="D526" s="24">
        <v>4</v>
      </c>
      <c r="G526" s="20">
        <f t="shared" si="115"/>
        <v>49873320000</v>
      </c>
      <c r="J526" t="s">
        <v>656</v>
      </c>
      <c r="K526" s="22" t="str">
        <f t="shared" si="120"/>
        <v>point</v>
      </c>
      <c r="M526" s="23">
        <f t="shared" si="121"/>
        <v>-1167291</v>
      </c>
      <c r="N526" s="23">
        <f t="shared" si="116"/>
        <v>-6.0671791370565114</v>
      </c>
      <c r="O526" t="s">
        <v>462</v>
      </c>
      <c r="P526">
        <v>4</v>
      </c>
      <c r="S526" t="s">
        <v>993</v>
      </c>
    </row>
    <row r="527" spans="1:19" x14ac:dyDescent="0.4">
      <c r="A527" t="s">
        <v>1423</v>
      </c>
      <c r="B527" s="20">
        <v>1651</v>
      </c>
      <c r="C527" s="24">
        <v>4</v>
      </c>
      <c r="D527" s="24">
        <v>12</v>
      </c>
      <c r="G527" s="20">
        <f t="shared" si="115"/>
        <v>49900276800</v>
      </c>
      <c r="J527" t="s">
        <v>656</v>
      </c>
      <c r="K527" s="22" t="str">
        <f t="shared" si="120"/>
        <v>point</v>
      </c>
      <c r="M527" s="23">
        <f t="shared" si="121"/>
        <v>-1159803</v>
      </c>
      <c r="N527" s="23">
        <f t="shared" si="116"/>
        <v>-6.0643842277798123</v>
      </c>
      <c r="O527" t="s">
        <v>462</v>
      </c>
      <c r="P527">
        <v>4</v>
      </c>
      <c r="S527" t="s">
        <v>993</v>
      </c>
    </row>
    <row r="528" spans="1:19" x14ac:dyDescent="0.4">
      <c r="A528" t="s">
        <v>1423</v>
      </c>
      <c r="B528" s="20">
        <v>1652</v>
      </c>
      <c r="C528" s="24">
        <v>4</v>
      </c>
      <c r="D528" s="24">
        <v>12</v>
      </c>
      <c r="G528" s="20">
        <f t="shared" si="115"/>
        <v>49931899200</v>
      </c>
      <c r="J528" t="s">
        <v>656</v>
      </c>
      <c r="K528" s="22" t="str">
        <f t="shared" si="120"/>
        <v>point</v>
      </c>
      <c r="M528" s="23">
        <f t="shared" si="121"/>
        <v>-1151019</v>
      </c>
      <c r="N528" s="23">
        <f t="shared" si="116"/>
        <v>-6.0610824926367863</v>
      </c>
      <c r="O528" t="s">
        <v>462</v>
      </c>
      <c r="P528">
        <v>4</v>
      </c>
      <c r="Q528" t="s">
        <v>964</v>
      </c>
      <c r="S528" t="s">
        <v>993</v>
      </c>
    </row>
    <row r="529" spans="1:19" x14ac:dyDescent="0.4">
      <c r="A529" t="s">
        <v>1423</v>
      </c>
      <c r="B529" s="20">
        <v>1655</v>
      </c>
      <c r="C529" s="24">
        <v>11</v>
      </c>
      <c r="D529" s="24">
        <v>25</v>
      </c>
      <c r="G529" s="20">
        <f t="shared" si="115"/>
        <v>50046120000</v>
      </c>
      <c r="J529" t="s">
        <v>656</v>
      </c>
      <c r="K529" s="22" t="str">
        <f t="shared" si="120"/>
        <v>point</v>
      </c>
      <c r="M529" s="23">
        <f t="shared" si="121"/>
        <v>-1119291</v>
      </c>
      <c r="N529" s="23">
        <f t="shared" si="116"/>
        <v>-6.0489430116975491</v>
      </c>
      <c r="O529" t="s">
        <v>462</v>
      </c>
      <c r="P529">
        <v>4</v>
      </c>
      <c r="S529" t="s">
        <v>993</v>
      </c>
    </row>
    <row r="530" spans="1:19" x14ac:dyDescent="0.4">
      <c r="A530" t="s">
        <v>1423</v>
      </c>
      <c r="B530" s="20">
        <v>1656</v>
      </c>
      <c r="C530" s="24">
        <v>12</v>
      </c>
      <c r="D530" s="24">
        <v>10</v>
      </c>
      <c r="G530" s="20">
        <f t="shared" si="115"/>
        <v>50079038400</v>
      </c>
      <c r="J530" t="s">
        <v>656</v>
      </c>
      <c r="K530" s="22" t="str">
        <f t="shared" si="120"/>
        <v>point</v>
      </c>
      <c r="M530" s="23">
        <f t="shared" si="121"/>
        <v>-1110147</v>
      </c>
      <c r="N530" s="23">
        <f t="shared" si="116"/>
        <v>-6.0453804896532199</v>
      </c>
      <c r="O530" t="s">
        <v>462</v>
      </c>
      <c r="P530">
        <v>4</v>
      </c>
      <c r="S530" t="s">
        <v>993</v>
      </c>
    </row>
    <row r="531" spans="1:19" x14ac:dyDescent="0.4">
      <c r="A531" t="s">
        <v>1423</v>
      </c>
      <c r="B531" s="20">
        <v>1657</v>
      </c>
      <c r="C531" s="24">
        <v>11</v>
      </c>
      <c r="D531" s="24">
        <v>25</v>
      </c>
      <c r="G531" s="20">
        <f t="shared" si="115"/>
        <v>50109278400</v>
      </c>
      <c r="J531" t="s">
        <v>656</v>
      </c>
      <c r="K531" s="22" t="str">
        <f t="shared" si="120"/>
        <v>point</v>
      </c>
      <c r="M531" s="23">
        <f t="shared" si="121"/>
        <v>-1101747</v>
      </c>
      <c r="N531" s="23">
        <f t="shared" si="116"/>
        <v>-6.0420818766221931</v>
      </c>
      <c r="O531" t="s">
        <v>462</v>
      </c>
      <c r="P531">
        <v>4</v>
      </c>
      <c r="S531" t="s">
        <v>993</v>
      </c>
    </row>
    <row r="532" spans="1:19" x14ac:dyDescent="0.4">
      <c r="A532" t="s">
        <v>1423</v>
      </c>
      <c r="B532" s="20">
        <v>1658</v>
      </c>
      <c r="C532" s="24">
        <v>7</v>
      </c>
      <c r="D532" s="24">
        <v>24</v>
      </c>
      <c r="G532" s="20">
        <f t="shared" si="115"/>
        <v>50130100800</v>
      </c>
      <c r="J532" t="s">
        <v>656</v>
      </c>
      <c r="K532" s="22" t="str">
        <f t="shared" si="120"/>
        <v>point</v>
      </c>
      <c r="M532" s="23">
        <f t="shared" si="121"/>
        <v>-1095963</v>
      </c>
      <c r="N532" s="23">
        <f t="shared" si="116"/>
        <v>-6.0397958924995621</v>
      </c>
      <c r="O532" t="s">
        <v>462</v>
      </c>
      <c r="P532">
        <v>4</v>
      </c>
      <c r="S532" t="s">
        <v>993</v>
      </c>
    </row>
    <row r="533" spans="1:19" x14ac:dyDescent="0.4">
      <c r="A533" t="s">
        <v>1423</v>
      </c>
      <c r="B533" s="20">
        <v>1659</v>
      </c>
      <c r="C533" s="24">
        <v>7</v>
      </c>
      <c r="D533" s="24">
        <v>24</v>
      </c>
      <c r="G533" s="20">
        <f t="shared" si="115"/>
        <v>50161636800</v>
      </c>
      <c r="J533" t="s">
        <v>656</v>
      </c>
      <c r="K533" s="22" t="str">
        <f t="shared" si="120"/>
        <v>point</v>
      </c>
      <c r="M533" s="23">
        <f t="shared" si="121"/>
        <v>-1087203</v>
      </c>
      <c r="N533" s="23">
        <f t="shared" si="116"/>
        <v>-6.0363106421071162</v>
      </c>
      <c r="O533" t="s">
        <v>462</v>
      </c>
      <c r="P533">
        <v>4</v>
      </c>
      <c r="S533" t="s">
        <v>993</v>
      </c>
    </row>
    <row r="534" spans="1:19" x14ac:dyDescent="0.4">
      <c r="A534" t="s">
        <v>1423</v>
      </c>
      <c r="B534" s="20">
        <v>1660</v>
      </c>
      <c r="C534" s="24">
        <v>4</v>
      </c>
      <c r="D534" s="24">
        <v>4</v>
      </c>
      <c r="G534" s="20">
        <f t="shared" si="115"/>
        <v>50183668800</v>
      </c>
      <c r="J534" t="s">
        <v>656</v>
      </c>
      <c r="K534" s="22" t="str">
        <f t="shared" si="120"/>
        <v>point</v>
      </c>
      <c r="M534" s="23">
        <f t="shared" si="121"/>
        <v>-1081083</v>
      </c>
      <c r="N534" s="23">
        <f t="shared" si="116"/>
        <v>-6.0338590381329889</v>
      </c>
      <c r="O534" t="s">
        <v>462</v>
      </c>
      <c r="P534">
        <v>4</v>
      </c>
      <c r="S534" t="s">
        <v>993</v>
      </c>
    </row>
    <row r="535" spans="1:19" x14ac:dyDescent="0.4">
      <c r="A535" t="s">
        <v>1423</v>
      </c>
      <c r="B535" s="20">
        <v>1661</v>
      </c>
      <c r="C535" s="24">
        <v>4</v>
      </c>
      <c r="D535" s="24">
        <v>4</v>
      </c>
      <c r="G535" s="20">
        <f t="shared" si="115"/>
        <v>50215204800</v>
      </c>
      <c r="H535" s="20">
        <f>170*24</f>
        <v>4080</v>
      </c>
      <c r="J535" t="s">
        <v>656</v>
      </c>
      <c r="K535" s="22" t="str">
        <f t="shared" si="120"/>
        <v>span</v>
      </c>
      <c r="M535" s="23">
        <f t="shared" si="121"/>
        <v>-1072323</v>
      </c>
      <c r="N535" s="23">
        <f t="shared" si="116"/>
        <v>-6.0303256211671359</v>
      </c>
      <c r="O535" t="s">
        <v>462</v>
      </c>
      <c r="P535">
        <v>4</v>
      </c>
      <c r="S535" t="s">
        <v>993</v>
      </c>
    </row>
    <row r="536" spans="1:19" x14ac:dyDescent="0.4">
      <c r="A536" t="s">
        <v>1423</v>
      </c>
      <c r="B536" s="20">
        <v>1669</v>
      </c>
      <c r="G536" s="20">
        <f t="shared" si="115"/>
        <v>50475225600</v>
      </c>
      <c r="J536" t="s">
        <v>656</v>
      </c>
      <c r="K536" s="22" t="str">
        <f t="shared" si="120"/>
        <v>point</v>
      </c>
      <c r="M536" s="23">
        <f t="shared" si="121"/>
        <v>-1000095</v>
      </c>
      <c r="N536" s="23">
        <f t="shared" si="116"/>
        <v>-6.0000412560161509</v>
      </c>
      <c r="O536" t="s">
        <v>462</v>
      </c>
      <c r="P536">
        <v>4</v>
      </c>
      <c r="S536" t="s">
        <v>993</v>
      </c>
    </row>
    <row r="537" spans="1:19" x14ac:dyDescent="0.4">
      <c r="A537" t="s">
        <v>1423</v>
      </c>
      <c r="B537" s="20">
        <v>1695</v>
      </c>
      <c r="C537" s="24">
        <v>6</v>
      </c>
      <c r="D537" s="24">
        <v>23</v>
      </c>
      <c r="G537" s="20">
        <f t="shared" si="115"/>
        <v>51295032000</v>
      </c>
      <c r="J537" t="s">
        <v>656</v>
      </c>
      <c r="K537" s="22" t="str">
        <f t="shared" si="120"/>
        <v>point</v>
      </c>
      <c r="M537" s="23">
        <f t="shared" si="121"/>
        <v>-772371</v>
      </c>
      <c r="N537" s="23">
        <f t="shared" si="116"/>
        <v>-5.8878259590788566</v>
      </c>
      <c r="O537" t="s">
        <v>462</v>
      </c>
      <c r="P537">
        <v>4</v>
      </c>
      <c r="Q537" t="s">
        <v>955</v>
      </c>
      <c r="S537" t="s">
        <v>993</v>
      </c>
    </row>
    <row r="538" spans="1:19" x14ac:dyDescent="0.4">
      <c r="A538" t="s">
        <v>1423</v>
      </c>
      <c r="B538" s="20">
        <v>1703</v>
      </c>
      <c r="C538" s="24">
        <v>4</v>
      </c>
      <c r="G538" s="20">
        <f t="shared" si="115"/>
        <v>51541574400</v>
      </c>
      <c r="J538" t="s">
        <v>656</v>
      </c>
      <c r="K538" s="22" t="str">
        <f t="shared" si="120"/>
        <v>point</v>
      </c>
      <c r="M538" s="23">
        <f t="shared" si="121"/>
        <v>-703887</v>
      </c>
      <c r="N538" s="23">
        <f t="shared" si="116"/>
        <v>-5.8475029443474442</v>
      </c>
      <c r="O538" t="s">
        <v>462</v>
      </c>
      <c r="P538">
        <v>4</v>
      </c>
      <c r="Q538" t="s">
        <v>955</v>
      </c>
      <c r="S538" t="s">
        <v>993</v>
      </c>
    </row>
    <row r="539" spans="1:19" x14ac:dyDescent="0.4">
      <c r="A539" t="s">
        <v>1423</v>
      </c>
      <c r="B539" s="20">
        <v>1706</v>
      </c>
      <c r="C539" s="24">
        <v>11</v>
      </c>
      <c r="D539" s="24">
        <v>20</v>
      </c>
      <c r="G539" s="20">
        <f t="shared" si="115"/>
        <v>51655147200</v>
      </c>
      <c r="J539" t="s">
        <v>656</v>
      </c>
      <c r="K539" s="22" t="str">
        <f t="shared" si="120"/>
        <v>point</v>
      </c>
      <c r="M539" s="23">
        <f t="shared" si="121"/>
        <v>-672339</v>
      </c>
      <c r="N539" s="23">
        <f t="shared" si="116"/>
        <v>-5.8275883038674605</v>
      </c>
      <c r="O539" t="s">
        <v>462</v>
      </c>
      <c r="P539">
        <v>4</v>
      </c>
      <c r="S539" t="s">
        <v>993</v>
      </c>
    </row>
    <row r="540" spans="1:19" x14ac:dyDescent="0.4">
      <c r="A540" t="s">
        <v>1423</v>
      </c>
      <c r="B540" s="20">
        <v>1708</v>
      </c>
      <c r="C540" s="24">
        <v>12</v>
      </c>
      <c r="D540" s="24">
        <v>29</v>
      </c>
      <c r="G540" s="20">
        <f t="shared" si="115"/>
        <v>51721675200</v>
      </c>
      <c r="H540" s="20">
        <f>10*24</f>
        <v>240</v>
      </c>
      <c r="J540" t="s">
        <v>656</v>
      </c>
      <c r="K540" s="22" t="str">
        <f t="shared" si="120"/>
        <v>span</v>
      </c>
      <c r="M540" s="23">
        <f t="shared" si="121"/>
        <v>-653859</v>
      </c>
      <c r="N540" s="23">
        <f t="shared" si="116"/>
        <v>-5.8154841059328692</v>
      </c>
      <c r="O540" t="s">
        <v>462</v>
      </c>
      <c r="P540">
        <v>5</v>
      </c>
      <c r="Q540" t="s">
        <v>963</v>
      </c>
      <c r="S540" t="s">
        <v>993</v>
      </c>
    </row>
    <row r="541" spans="1:19" x14ac:dyDescent="0.4">
      <c r="A541" t="s">
        <v>1423</v>
      </c>
      <c r="B541" s="20">
        <v>1710</v>
      </c>
      <c r="C541" s="24">
        <v>4</v>
      </c>
      <c r="D541" s="24">
        <v>13</v>
      </c>
      <c r="G541" s="20">
        <f t="shared" si="115"/>
        <v>51762283200</v>
      </c>
      <c r="J541" t="s">
        <v>656</v>
      </c>
      <c r="K541" s="22" t="str">
        <f t="shared" si="120"/>
        <v>point</v>
      </c>
      <c r="M541" s="23">
        <f t="shared" si="121"/>
        <v>-642579</v>
      </c>
      <c r="N541" s="23">
        <f t="shared" si="116"/>
        <v>-5.8079265283534607</v>
      </c>
      <c r="O541" t="s">
        <v>462</v>
      </c>
      <c r="P541">
        <v>4</v>
      </c>
      <c r="S541" t="s">
        <v>993</v>
      </c>
    </row>
    <row r="542" spans="1:19" x14ac:dyDescent="0.4">
      <c r="A542" t="s">
        <v>1423</v>
      </c>
      <c r="B542" s="20">
        <v>1711</v>
      </c>
      <c r="C542" s="24">
        <v>3</v>
      </c>
      <c r="D542" s="24">
        <v>25</v>
      </c>
      <c r="G542" s="20">
        <f t="shared" si="115"/>
        <v>51792177600</v>
      </c>
      <c r="H542" s="20">
        <f>19*24</f>
        <v>456</v>
      </c>
      <c r="J542" t="s">
        <v>656</v>
      </c>
      <c r="K542" s="22" t="str">
        <f t="shared" si="120"/>
        <v>span</v>
      </c>
      <c r="M542" s="23">
        <f t="shared" si="121"/>
        <v>-634275</v>
      </c>
      <c r="N542" s="23">
        <f t="shared" si="116"/>
        <v>-5.8022775939829652</v>
      </c>
      <c r="O542" t="s">
        <v>462</v>
      </c>
      <c r="P542">
        <v>4</v>
      </c>
      <c r="S542" t="s">
        <v>993</v>
      </c>
    </row>
    <row r="543" spans="1:19" x14ac:dyDescent="0.4">
      <c r="A543" t="s">
        <v>1423</v>
      </c>
      <c r="B543" s="20">
        <v>1713</v>
      </c>
      <c r="C543" s="24">
        <v>6</v>
      </c>
      <c r="D543" s="24">
        <v>29</v>
      </c>
      <c r="E543" s="24">
        <v>0</v>
      </c>
      <c r="G543" s="20">
        <f t="shared" si="115"/>
        <v>51863587200</v>
      </c>
      <c r="J543" t="s">
        <v>656</v>
      </c>
      <c r="K543" s="22" t="str">
        <f t="shared" si="120"/>
        <v>point</v>
      </c>
      <c r="M543" s="23">
        <f t="shared" si="121"/>
        <v>-614439</v>
      </c>
      <c r="N543" s="23">
        <f t="shared" si="116"/>
        <v>-5.7884787736693708</v>
      </c>
      <c r="O543" t="s">
        <v>462</v>
      </c>
      <c r="P543">
        <v>4</v>
      </c>
      <c r="Q543" t="s">
        <v>959</v>
      </c>
      <c r="S543" t="s">
        <v>993</v>
      </c>
    </row>
    <row r="544" spans="1:19" x14ac:dyDescent="0.4">
      <c r="A544" t="s">
        <v>1423</v>
      </c>
      <c r="B544" s="20">
        <v>1717</v>
      </c>
      <c r="C544" s="24">
        <v>9</v>
      </c>
      <c r="D544" s="24">
        <v>23</v>
      </c>
      <c r="G544" s="20">
        <f t="shared" si="115"/>
        <v>51997291200</v>
      </c>
      <c r="J544" t="s">
        <v>656</v>
      </c>
      <c r="K544" s="22" t="str">
        <f t="shared" si="120"/>
        <v>point</v>
      </c>
      <c r="M544" s="23">
        <f t="shared" si="121"/>
        <v>-577299</v>
      </c>
      <c r="N544" s="23">
        <f t="shared" si="116"/>
        <v>-5.7614008052123706</v>
      </c>
      <c r="O544" t="s">
        <v>462</v>
      </c>
      <c r="P544">
        <v>4</v>
      </c>
      <c r="S544" t="s">
        <v>993</v>
      </c>
    </row>
    <row r="545" spans="1:19" x14ac:dyDescent="0.4">
      <c r="A545" t="s">
        <v>1423</v>
      </c>
      <c r="B545" s="20">
        <v>1718</v>
      </c>
      <c r="C545" s="24">
        <v>9</v>
      </c>
      <c r="D545" s="24">
        <v>26</v>
      </c>
      <c r="G545" s="20">
        <f t="shared" si="115"/>
        <v>52029086400</v>
      </c>
      <c r="J545" t="s">
        <v>656</v>
      </c>
      <c r="K545" s="22" t="str">
        <f t="shared" si="120"/>
        <v>point</v>
      </c>
      <c r="M545" s="23">
        <f t="shared" si="121"/>
        <v>-568467</v>
      </c>
      <c r="N545" s="23">
        <f t="shared" si="116"/>
        <v>-5.7547052585859717</v>
      </c>
      <c r="O545" t="s">
        <v>462</v>
      </c>
      <c r="P545">
        <v>4</v>
      </c>
      <c r="Q545" t="s">
        <v>962</v>
      </c>
      <c r="S545" t="s">
        <v>993</v>
      </c>
    </row>
    <row r="546" spans="1:19" x14ac:dyDescent="0.4">
      <c r="A546" t="s">
        <v>1423</v>
      </c>
      <c r="B546" s="20">
        <v>1719</v>
      </c>
      <c r="C546" s="24">
        <v>6</v>
      </c>
      <c r="D546" s="24">
        <v>10</v>
      </c>
      <c r="G546" s="20">
        <f t="shared" si="115"/>
        <v>52051291200</v>
      </c>
      <c r="H546" s="20">
        <v>24</v>
      </c>
      <c r="J546" t="s">
        <v>656</v>
      </c>
      <c r="K546" s="22" t="str">
        <f t="shared" si="120"/>
        <v>span</v>
      </c>
      <c r="M546" s="23">
        <f t="shared" si="121"/>
        <v>-562299</v>
      </c>
      <c r="N546" s="23">
        <f t="shared" si="116"/>
        <v>-5.7499673111550225</v>
      </c>
      <c r="O546" t="s">
        <v>462</v>
      </c>
      <c r="P546">
        <v>4</v>
      </c>
      <c r="Q546" t="s">
        <v>959</v>
      </c>
      <c r="S546" t="s">
        <v>993</v>
      </c>
    </row>
    <row r="547" spans="1:19" x14ac:dyDescent="0.4">
      <c r="A547" t="s">
        <v>1423</v>
      </c>
      <c r="B547" s="20">
        <v>1720</v>
      </c>
      <c r="C547" s="24">
        <v>6</v>
      </c>
      <c r="D547" s="24">
        <v>6</v>
      </c>
      <c r="G547" s="20">
        <f t="shared" si="115"/>
        <v>52082568000</v>
      </c>
      <c r="J547" t="s">
        <v>656</v>
      </c>
      <c r="K547" s="22" t="str">
        <f t="shared" si="120"/>
        <v>point</v>
      </c>
      <c r="M547" s="23">
        <f t="shared" si="121"/>
        <v>-553611</v>
      </c>
      <c r="N547" s="23">
        <f t="shared" si="116"/>
        <v>-5.7432047107692217</v>
      </c>
      <c r="O547" t="s">
        <v>462</v>
      </c>
      <c r="P547">
        <v>4</v>
      </c>
      <c r="S547" t="s">
        <v>993</v>
      </c>
    </row>
    <row r="548" spans="1:19" x14ac:dyDescent="0.4">
      <c r="A548" t="s">
        <v>1423</v>
      </c>
      <c r="B548" s="20">
        <v>1721</v>
      </c>
      <c r="C548" s="24">
        <v>6</v>
      </c>
      <c r="D548" s="24">
        <v>22</v>
      </c>
      <c r="G548" s="20">
        <f t="shared" si="115"/>
        <v>52115486400</v>
      </c>
      <c r="J548" t="s">
        <v>656</v>
      </c>
      <c r="K548" s="22" t="str">
        <f t="shared" si="120"/>
        <v>point</v>
      </c>
      <c r="M548" s="23">
        <f t="shared" si="121"/>
        <v>-544467</v>
      </c>
      <c r="N548" s="23">
        <f t="shared" si="116"/>
        <v>-5.7359715624164682</v>
      </c>
      <c r="O548" t="s">
        <v>462</v>
      </c>
      <c r="P548">
        <v>4</v>
      </c>
      <c r="Q548" t="s">
        <v>961</v>
      </c>
      <c r="S548" t="s">
        <v>993</v>
      </c>
    </row>
    <row r="549" spans="1:19" x14ac:dyDescent="0.4">
      <c r="A549" t="s">
        <v>1423</v>
      </c>
      <c r="B549" s="20">
        <v>1722</v>
      </c>
      <c r="C549" s="24">
        <v>11</v>
      </c>
      <c r="D549" s="24">
        <v>18</v>
      </c>
      <c r="G549" s="20">
        <f t="shared" si="115"/>
        <v>52159896000</v>
      </c>
      <c r="H549" s="20">
        <f>4*30*24</f>
        <v>2880</v>
      </c>
      <c r="J549" t="s">
        <v>656</v>
      </c>
      <c r="K549" s="22" t="str">
        <f t="shared" si="120"/>
        <v>span</v>
      </c>
      <c r="M549" s="23">
        <f t="shared" si="121"/>
        <v>-532131</v>
      </c>
      <c r="N549" s="23">
        <f t="shared" si="116"/>
        <v>-5.7260185600650626</v>
      </c>
      <c r="O549" t="s">
        <v>462</v>
      </c>
      <c r="P549">
        <v>4</v>
      </c>
      <c r="Q549" t="s">
        <v>960</v>
      </c>
      <c r="S549" t="s">
        <v>993</v>
      </c>
    </row>
    <row r="550" spans="1:19" x14ac:dyDescent="0.4">
      <c r="A550" t="s">
        <v>1423</v>
      </c>
      <c r="B550" s="20">
        <v>1723</v>
      </c>
      <c r="C550" s="24">
        <v>8</v>
      </c>
      <c r="D550" s="24">
        <v>20</v>
      </c>
      <c r="G550" s="20">
        <f t="shared" si="115"/>
        <v>52183656000</v>
      </c>
      <c r="J550" t="s">
        <v>656</v>
      </c>
      <c r="K550" s="22" t="str">
        <f t="shared" si="120"/>
        <v>point</v>
      </c>
      <c r="M550" s="23">
        <f t="shared" si="121"/>
        <v>-525531</v>
      </c>
      <c r="N550" s="23">
        <f t="shared" si="116"/>
        <v>-5.7205983392640709</v>
      </c>
      <c r="O550" t="s">
        <v>462</v>
      </c>
      <c r="P550">
        <v>4</v>
      </c>
      <c r="S550" t="s">
        <v>993</v>
      </c>
    </row>
    <row r="551" spans="1:19" x14ac:dyDescent="0.4">
      <c r="A551" t="s">
        <v>1423</v>
      </c>
      <c r="B551" s="20">
        <v>1728</v>
      </c>
      <c r="C551" s="24">
        <v>11</v>
      </c>
      <c r="D551" s="24">
        <v>10</v>
      </c>
      <c r="G551" s="20">
        <f t="shared" si="115"/>
        <v>52348593600</v>
      </c>
      <c r="I551"/>
      <c r="J551" t="s">
        <v>656</v>
      </c>
      <c r="K551" s="22" t="str">
        <f t="shared" si="120"/>
        <v>point</v>
      </c>
      <c r="L551"/>
      <c r="M551" s="23">
        <f t="shared" si="121"/>
        <v>-479715</v>
      </c>
      <c r="N551" s="23">
        <f t="shared" si="116"/>
        <v>-5.6809832984437572</v>
      </c>
      <c r="O551" t="s">
        <v>462</v>
      </c>
      <c r="P551">
        <v>4</v>
      </c>
      <c r="S551" t="s">
        <v>993</v>
      </c>
    </row>
    <row r="552" spans="1:19" x14ac:dyDescent="0.4">
      <c r="A552" t="s">
        <v>1423</v>
      </c>
      <c r="B552" s="20">
        <v>1729</v>
      </c>
      <c r="C552" s="24">
        <v>11</v>
      </c>
      <c r="D552" s="24">
        <v>1</v>
      </c>
      <c r="G552" s="20">
        <f t="shared" si="115"/>
        <v>52379352000</v>
      </c>
      <c r="I552">
        <f>60*24</f>
        <v>1440</v>
      </c>
      <c r="J552" t="s">
        <v>656</v>
      </c>
      <c r="K552" s="22" t="str">
        <f t="shared" si="120"/>
        <v>middle</v>
      </c>
      <c r="L552"/>
      <c r="M552" s="23">
        <f t="shared" si="121"/>
        <v>-471171</v>
      </c>
      <c r="N552" s="23">
        <f t="shared" si="116"/>
        <v>-5.6731785523063021</v>
      </c>
      <c r="O552" t="s">
        <v>462</v>
      </c>
      <c r="P552">
        <v>4</v>
      </c>
      <c r="Q552" t="s">
        <v>959</v>
      </c>
      <c r="S552" t="s">
        <v>993</v>
      </c>
    </row>
    <row r="553" spans="1:19" x14ac:dyDescent="0.4">
      <c r="A553" t="s">
        <v>1423</v>
      </c>
      <c r="B553" s="20">
        <v>1732</v>
      </c>
      <c r="C553" s="24">
        <v>7</v>
      </c>
      <c r="D553" s="24">
        <v>30</v>
      </c>
      <c r="G553" s="20">
        <f t="shared" si="115"/>
        <v>52465924800</v>
      </c>
      <c r="I553"/>
      <c r="J553" t="s">
        <v>656</v>
      </c>
      <c r="K553" s="22" t="str">
        <f t="shared" si="120"/>
        <v>point</v>
      </c>
      <c r="L553"/>
      <c r="M553" s="23">
        <f t="shared" si="121"/>
        <v>-447123</v>
      </c>
      <c r="N553" s="23">
        <f t="shared" si="116"/>
        <v>-5.6504270105438721</v>
      </c>
      <c r="O553" t="s">
        <v>462</v>
      </c>
      <c r="P553">
        <v>4</v>
      </c>
      <c r="S553" t="s">
        <v>993</v>
      </c>
    </row>
    <row r="554" spans="1:19" x14ac:dyDescent="0.4">
      <c r="A554" t="s">
        <v>1423</v>
      </c>
      <c r="B554" s="20">
        <v>1733</v>
      </c>
      <c r="C554" s="24">
        <v>7</v>
      </c>
      <c r="D554" s="24">
        <v>30</v>
      </c>
      <c r="G554" s="20">
        <f t="shared" si="115"/>
        <v>52497460800</v>
      </c>
      <c r="I554"/>
      <c r="J554" t="s">
        <v>656</v>
      </c>
      <c r="K554" s="22" t="str">
        <f t="shared" si="120"/>
        <v>point</v>
      </c>
      <c r="L554"/>
      <c r="M554" s="23">
        <f t="shared" si="121"/>
        <v>-438363</v>
      </c>
      <c r="N554" s="23">
        <f t="shared" si="116"/>
        <v>-5.6418338904262253</v>
      </c>
      <c r="O554" t="s">
        <v>462</v>
      </c>
      <c r="P554">
        <v>4</v>
      </c>
      <c r="Q554" t="s">
        <v>958</v>
      </c>
      <c r="S554" t="s">
        <v>993</v>
      </c>
    </row>
    <row r="555" spans="1:19" x14ac:dyDescent="0.4">
      <c r="A555" t="s">
        <v>1423</v>
      </c>
      <c r="B555" s="20">
        <v>1752</v>
      </c>
      <c r="C555" s="24">
        <v>9</v>
      </c>
      <c r="D555" s="24">
        <v>1</v>
      </c>
      <c r="G555" s="20">
        <f t="shared" si="115"/>
        <v>53099928000</v>
      </c>
      <c r="I555">
        <f>60*24</f>
        <v>1440</v>
      </c>
      <c r="J555" t="s">
        <v>656</v>
      </c>
      <c r="K555" s="22" t="str">
        <f t="shared" si="120"/>
        <v>middle</v>
      </c>
      <c r="L555"/>
      <c r="M555" s="23">
        <f t="shared" si="121"/>
        <v>-271011</v>
      </c>
      <c r="N555" s="23">
        <f t="shared" si="116"/>
        <v>-5.4329869187059501</v>
      </c>
      <c r="O555" t="s">
        <v>462</v>
      </c>
      <c r="P555">
        <v>4</v>
      </c>
      <c r="Q555" t="s">
        <v>957</v>
      </c>
      <c r="S555" t="s">
        <v>993</v>
      </c>
    </row>
    <row r="556" spans="1:19" x14ac:dyDescent="0.4">
      <c r="A556" t="s">
        <v>1423</v>
      </c>
      <c r="B556" s="20">
        <v>1754</v>
      </c>
      <c r="G556" s="20">
        <f t="shared" si="115"/>
        <v>53157600000</v>
      </c>
      <c r="I556"/>
      <c r="J556" t="s">
        <v>656</v>
      </c>
      <c r="K556" s="22" t="str">
        <f t="shared" si="120"/>
        <v>point</v>
      </c>
      <c r="L556"/>
      <c r="M556" s="23">
        <f t="shared" si="121"/>
        <v>-254991</v>
      </c>
      <c r="N556" s="23">
        <f t="shared" si="116"/>
        <v>-5.4065248521229163</v>
      </c>
      <c r="O556" t="s">
        <v>462</v>
      </c>
      <c r="P556">
        <v>4</v>
      </c>
      <c r="Q556" t="s">
        <v>956</v>
      </c>
      <c r="S556" t="s">
        <v>993</v>
      </c>
    </row>
    <row r="557" spans="1:19" x14ac:dyDescent="0.4">
      <c r="A557" t="s">
        <v>1423</v>
      </c>
      <c r="B557" s="20">
        <v>1776</v>
      </c>
      <c r="C557" s="24">
        <v>9</v>
      </c>
      <c r="D557" s="24">
        <v>5</v>
      </c>
      <c r="G557" s="20">
        <f t="shared" si="115"/>
        <v>53857656000</v>
      </c>
      <c r="I557"/>
      <c r="J557" t="s">
        <v>656</v>
      </c>
      <c r="K557" s="22" t="str">
        <f t="shared" si="120"/>
        <v>point</v>
      </c>
      <c r="L557"/>
      <c r="M557" s="23">
        <f t="shared" si="121"/>
        <v>-60531</v>
      </c>
      <c r="N557" s="23">
        <f t="shared" si="116"/>
        <v>-4.7819778487166911</v>
      </c>
      <c r="O557" t="s">
        <v>462</v>
      </c>
      <c r="P557">
        <v>4</v>
      </c>
      <c r="Q557" t="s">
        <v>955</v>
      </c>
      <c r="S557" t="s">
        <v>993</v>
      </c>
    </row>
    <row r="558" spans="1:19" x14ac:dyDescent="0.4">
      <c r="A558" t="s">
        <v>1423</v>
      </c>
      <c r="B558" s="24">
        <v>1777</v>
      </c>
      <c r="G558" s="20">
        <f t="shared" si="115"/>
        <v>53883446400</v>
      </c>
      <c r="J558" t="s">
        <v>656</v>
      </c>
      <c r="K558" s="22" t="str">
        <f t="shared" si="120"/>
        <v>point</v>
      </c>
      <c r="M558" s="23">
        <f t="shared" si="121"/>
        <v>-53367</v>
      </c>
      <c r="N558" s="23">
        <f t="shared" si="116"/>
        <v>-4.7272727898362747</v>
      </c>
      <c r="O558" t="s">
        <v>462</v>
      </c>
      <c r="P558">
        <v>4</v>
      </c>
      <c r="Q558" t="s">
        <v>954</v>
      </c>
      <c r="S558" t="s">
        <v>993</v>
      </c>
    </row>
    <row r="559" spans="1:19" x14ac:dyDescent="0.4">
      <c r="A559" t="s">
        <v>1423</v>
      </c>
      <c r="B559" s="24">
        <v>1783</v>
      </c>
      <c r="C559" s="24">
        <v>5</v>
      </c>
      <c r="D559" s="24">
        <v>9</v>
      </c>
      <c r="G559" s="20">
        <f t="shared" si="115"/>
        <v>54068212800</v>
      </c>
      <c r="J559" t="s">
        <v>656</v>
      </c>
      <c r="K559" s="22" t="str">
        <f t="shared" si="120"/>
        <v>point</v>
      </c>
      <c r="M559" s="23">
        <f t="shared" si="121"/>
        <v>-2043</v>
      </c>
      <c r="N559" s="23">
        <f t="shared" si="116"/>
        <v>-3.3102683666324477</v>
      </c>
      <c r="O559" t="s">
        <v>462</v>
      </c>
      <c r="P559">
        <v>4</v>
      </c>
      <c r="Q559" t="s">
        <v>751</v>
      </c>
      <c r="S559" t="s">
        <v>530</v>
      </c>
    </row>
    <row r="560" spans="1:19" x14ac:dyDescent="0.4">
      <c r="A560" t="s">
        <v>1423</v>
      </c>
      <c r="B560" s="24">
        <v>1783</v>
      </c>
      <c r="C560" s="24">
        <v>5</v>
      </c>
      <c r="D560" s="24">
        <v>10</v>
      </c>
      <c r="G560" s="20">
        <f t="shared" si="115"/>
        <v>54068299200</v>
      </c>
      <c r="H560" s="20">
        <f>46*24</f>
        <v>1104</v>
      </c>
      <c r="J560" t="s">
        <v>656</v>
      </c>
      <c r="K560" s="22" t="str">
        <f t="shared" si="120"/>
        <v>span</v>
      </c>
      <c r="M560" s="23">
        <f t="shared" si="121"/>
        <v>-2019</v>
      </c>
      <c r="N560" s="23">
        <f t="shared" si="116"/>
        <v>-3.3051363189436391</v>
      </c>
      <c r="O560" t="s">
        <v>462</v>
      </c>
      <c r="P560">
        <v>0</v>
      </c>
      <c r="Q560" t="s">
        <v>752</v>
      </c>
      <c r="S560" t="s">
        <v>530</v>
      </c>
    </row>
    <row r="561" spans="1:19" x14ac:dyDescent="0.4">
      <c r="A561" t="s">
        <v>1423</v>
      </c>
      <c r="B561" s="24">
        <v>1783</v>
      </c>
      <c r="C561" s="24">
        <v>6</v>
      </c>
      <c r="D561" s="24">
        <v>25</v>
      </c>
      <c r="E561" s="24">
        <v>10</v>
      </c>
      <c r="G561" s="20">
        <f t="shared" si="115"/>
        <v>54072266400</v>
      </c>
      <c r="J561" t="s">
        <v>656</v>
      </c>
      <c r="K561" s="22" t="str">
        <f t="shared" si="120"/>
        <v>point</v>
      </c>
      <c r="M561" s="23">
        <f t="shared" si="121"/>
        <v>-917</v>
      </c>
      <c r="N561" s="23">
        <f t="shared" si="116"/>
        <v>-2.9623693356700209</v>
      </c>
      <c r="O561" t="s">
        <v>462</v>
      </c>
      <c r="P561">
        <v>5</v>
      </c>
      <c r="Q561" t="s">
        <v>753</v>
      </c>
      <c r="S561" t="s">
        <v>530</v>
      </c>
    </row>
    <row r="562" spans="1:19" x14ac:dyDescent="0.4">
      <c r="A562" t="s">
        <v>1423</v>
      </c>
      <c r="B562" s="24">
        <v>1783</v>
      </c>
      <c r="C562" s="24">
        <v>6</v>
      </c>
      <c r="D562" s="24">
        <v>25</v>
      </c>
      <c r="E562" s="24">
        <v>10</v>
      </c>
      <c r="G562" s="20">
        <f t="shared" si="115"/>
        <v>54072266400</v>
      </c>
      <c r="H562" s="20">
        <f>31*24</f>
        <v>744</v>
      </c>
      <c r="J562" t="s">
        <v>656</v>
      </c>
      <c r="K562" s="22" t="str">
        <f t="shared" si="120"/>
        <v>span</v>
      </c>
      <c r="M562" s="23">
        <f t="shared" si="121"/>
        <v>-917</v>
      </c>
      <c r="N562" s="23">
        <f t="shared" si="116"/>
        <v>-2.9623693356700209</v>
      </c>
      <c r="O562" t="s">
        <v>462</v>
      </c>
      <c r="P562">
        <v>3</v>
      </c>
      <c r="Q562" t="s">
        <v>754</v>
      </c>
      <c r="S562" t="s">
        <v>530</v>
      </c>
    </row>
    <row r="563" spans="1:19" x14ac:dyDescent="0.4">
      <c r="A563" t="s">
        <v>1423</v>
      </c>
      <c r="B563" s="24">
        <v>1783</v>
      </c>
      <c r="C563" s="24">
        <v>7</v>
      </c>
      <c r="D563" s="24">
        <v>18</v>
      </c>
      <c r="E563" s="24">
        <v>20</v>
      </c>
      <c r="G563" s="20">
        <f t="shared" si="115"/>
        <v>54074289600</v>
      </c>
      <c r="H563" s="20">
        <v>60</v>
      </c>
      <c r="J563" t="s">
        <v>656</v>
      </c>
      <c r="K563" s="22" t="str">
        <f t="shared" si="120"/>
        <v>span</v>
      </c>
      <c r="M563" s="23">
        <f t="shared" si="121"/>
        <v>-355</v>
      </c>
      <c r="N563" s="23">
        <f t="shared" si="116"/>
        <v>-2.5502283530550942</v>
      </c>
      <c r="O563" t="s">
        <v>462</v>
      </c>
      <c r="P563">
        <v>5</v>
      </c>
      <c r="Q563" t="s">
        <v>755</v>
      </c>
      <c r="S563" t="s">
        <v>530</v>
      </c>
    </row>
    <row r="564" spans="1:19" x14ac:dyDescent="0.4">
      <c r="A564" t="s">
        <v>1423</v>
      </c>
      <c r="B564" s="24">
        <v>1783</v>
      </c>
      <c r="C564" s="24">
        <v>7</v>
      </c>
      <c r="D564" s="24">
        <v>21</v>
      </c>
      <c r="G564" s="20">
        <f t="shared" si="115"/>
        <v>54074520000</v>
      </c>
      <c r="H564" s="20">
        <f>10*24</f>
        <v>240</v>
      </c>
      <c r="J564" t="s">
        <v>656</v>
      </c>
      <c r="K564" s="22" t="str">
        <f t="shared" si="120"/>
        <v>span</v>
      </c>
      <c r="M564" s="23">
        <f t="shared" si="121"/>
        <v>-291</v>
      </c>
      <c r="N564" s="23">
        <f t="shared" si="116"/>
        <v>-2.4638929889859074</v>
      </c>
      <c r="O564" t="s">
        <v>462</v>
      </c>
      <c r="P564">
        <v>4</v>
      </c>
      <c r="Q564" t="s">
        <v>756</v>
      </c>
      <c r="S564" t="s">
        <v>530</v>
      </c>
    </row>
    <row r="565" spans="1:19" x14ac:dyDescent="0.4">
      <c r="A565" t="s">
        <v>1423</v>
      </c>
      <c r="B565" s="24">
        <v>1783</v>
      </c>
      <c r="C565" s="24">
        <v>7</v>
      </c>
      <c r="D565" s="24">
        <v>27</v>
      </c>
      <c r="G565" s="20">
        <f t="shared" si="115"/>
        <v>54075038400</v>
      </c>
      <c r="J565" t="s">
        <v>656</v>
      </c>
      <c r="K565" s="22" t="str">
        <f t="shared" si="120"/>
        <v>point</v>
      </c>
      <c r="M565" s="23">
        <f t="shared" si="121"/>
        <v>-147</v>
      </c>
      <c r="N565" s="23">
        <f t="shared" si="116"/>
        <v>-2.167317334748176</v>
      </c>
      <c r="O565" t="s">
        <v>462</v>
      </c>
      <c r="P565">
        <v>5</v>
      </c>
      <c r="Q565" t="s">
        <v>757</v>
      </c>
      <c r="S565" t="s">
        <v>530</v>
      </c>
    </row>
    <row r="566" spans="1:19" x14ac:dyDescent="0.4">
      <c r="A566" t="s">
        <v>1423</v>
      </c>
      <c r="B566" s="24">
        <v>1783</v>
      </c>
      <c r="C566" s="24">
        <v>7</v>
      </c>
      <c r="D566" s="24">
        <v>31</v>
      </c>
      <c r="G566" s="20">
        <f t="shared" si="115"/>
        <v>54075384000</v>
      </c>
      <c r="H566" s="20">
        <v>48</v>
      </c>
      <c r="J566" t="s">
        <v>656</v>
      </c>
      <c r="K566" s="22" t="str">
        <f t="shared" si="120"/>
        <v>span</v>
      </c>
      <c r="M566" s="23">
        <f t="shared" si="121"/>
        <v>-51</v>
      </c>
      <c r="N566" s="23">
        <f t="shared" si="116"/>
        <v>-1.7075701760979363</v>
      </c>
      <c r="O566" t="s">
        <v>462</v>
      </c>
      <c r="P566">
        <v>2</v>
      </c>
      <c r="Q566" t="s">
        <v>758</v>
      </c>
      <c r="S566" t="s">
        <v>530</v>
      </c>
    </row>
    <row r="567" spans="1:19" x14ac:dyDescent="0.4">
      <c r="A567" t="s">
        <v>1423</v>
      </c>
      <c r="B567" s="24">
        <v>1783</v>
      </c>
      <c r="C567" s="24">
        <v>8</v>
      </c>
      <c r="D567" s="24">
        <v>2</v>
      </c>
      <c r="E567" s="24">
        <v>15</v>
      </c>
      <c r="G567" s="20">
        <f t="shared" si="115"/>
        <v>54075567600</v>
      </c>
      <c r="H567" s="20">
        <v>65</v>
      </c>
      <c r="J567" t="s">
        <v>656</v>
      </c>
      <c r="K567" s="22" t="str">
        <f t="shared" si="120"/>
        <v>span</v>
      </c>
      <c r="L567" s="20" t="s">
        <v>762</v>
      </c>
      <c r="M567" s="23">
        <f>(G567-54075567600)/3600</f>
        <v>0</v>
      </c>
      <c r="N567" s="23">
        <f t="shared" si="116"/>
        <v>0</v>
      </c>
      <c r="O567" t="s">
        <v>462</v>
      </c>
      <c r="P567">
        <v>5</v>
      </c>
      <c r="Q567" t="s">
        <v>759</v>
      </c>
      <c r="S567" t="s">
        <v>530</v>
      </c>
    </row>
    <row r="568" spans="1:19" x14ac:dyDescent="0.4">
      <c r="A568" t="s">
        <v>1423</v>
      </c>
      <c r="B568" s="24">
        <v>1783</v>
      </c>
      <c r="C568" s="24">
        <v>8</v>
      </c>
      <c r="D568" s="24">
        <v>4</v>
      </c>
      <c r="E568" s="24">
        <v>18</v>
      </c>
      <c r="G568" s="20">
        <f t="shared" si="115"/>
        <v>54075751200</v>
      </c>
      <c r="H568" s="20">
        <v>12</v>
      </c>
      <c r="J568" t="s">
        <v>656</v>
      </c>
      <c r="K568" s="22" t="str">
        <f t="shared" si="120"/>
        <v>span</v>
      </c>
      <c r="L568" s="20" t="s">
        <v>671</v>
      </c>
      <c r="M568" s="23">
        <f t="shared" ref="M568:M605" si="122">(G568-54075567600)/3600</f>
        <v>51</v>
      </c>
      <c r="N568" s="23">
        <f t="shared" si="116"/>
        <v>1.7075701760979363</v>
      </c>
      <c r="O568" t="s">
        <v>462</v>
      </c>
      <c r="P568">
        <v>6</v>
      </c>
      <c r="Q568" t="s">
        <v>763</v>
      </c>
      <c r="R568" t="s">
        <v>764</v>
      </c>
      <c r="S568" t="s">
        <v>530</v>
      </c>
    </row>
    <row r="569" spans="1:19" x14ac:dyDescent="0.4">
      <c r="A569" t="s">
        <v>1423</v>
      </c>
      <c r="B569" s="24">
        <v>1783</v>
      </c>
      <c r="C569" s="24">
        <v>8</v>
      </c>
      <c r="D569" s="24">
        <v>5</v>
      </c>
      <c r="E569" s="24">
        <v>7</v>
      </c>
      <c r="G569" s="20">
        <f t="shared" si="115"/>
        <v>54075798000</v>
      </c>
      <c r="H569" s="20">
        <f>40*24</f>
        <v>960</v>
      </c>
      <c r="J569" t="s">
        <v>656</v>
      </c>
      <c r="K569" s="22" t="str">
        <f t="shared" si="120"/>
        <v>span</v>
      </c>
      <c r="M569" s="23">
        <f t="shared" si="122"/>
        <v>64</v>
      </c>
      <c r="N569" s="23">
        <f t="shared" si="116"/>
        <v>1.8061799739838871</v>
      </c>
      <c r="O569" t="s">
        <v>462</v>
      </c>
      <c r="P569">
        <v>3</v>
      </c>
      <c r="Q569" t="s">
        <v>760</v>
      </c>
      <c r="S569" t="s">
        <v>530</v>
      </c>
    </row>
    <row r="570" spans="1:19" x14ac:dyDescent="0.4">
      <c r="A570" t="s">
        <v>1423</v>
      </c>
      <c r="B570" s="24">
        <v>1783</v>
      </c>
      <c r="C570" s="24">
        <v>8</v>
      </c>
      <c r="D570" s="24">
        <v>5</v>
      </c>
      <c r="E570" s="24">
        <v>9</v>
      </c>
      <c r="G570" s="20">
        <f t="shared" si="115"/>
        <v>54075805200</v>
      </c>
      <c r="J570" t="s">
        <v>656</v>
      </c>
      <c r="K570" s="22" t="str">
        <f t="shared" si="120"/>
        <v>point</v>
      </c>
      <c r="M570" s="23">
        <f t="shared" si="122"/>
        <v>66</v>
      </c>
      <c r="N570" s="23">
        <f t="shared" si="116"/>
        <v>1.8195439355418688</v>
      </c>
      <c r="O570" t="s">
        <v>462</v>
      </c>
      <c r="P570">
        <v>6</v>
      </c>
      <c r="Q570" t="s">
        <v>761</v>
      </c>
      <c r="S570" t="s">
        <v>530</v>
      </c>
    </row>
    <row r="571" spans="1:19" x14ac:dyDescent="0.4">
      <c r="A571" t="s">
        <v>1423</v>
      </c>
      <c r="B571" s="20">
        <v>1803</v>
      </c>
      <c r="C571" s="24">
        <v>7</v>
      </c>
      <c r="D571" s="24">
        <v>4</v>
      </c>
      <c r="G571" s="20">
        <f t="shared" si="115"/>
        <v>54704116800</v>
      </c>
      <c r="H571" s="20">
        <f>139*24</f>
        <v>3336</v>
      </c>
      <c r="J571" t="s">
        <v>656</v>
      </c>
      <c r="K571" s="22" t="str">
        <f t="shared" si="120"/>
        <v>span</v>
      </c>
      <c r="M571" s="23">
        <f t="shared" si="122"/>
        <v>174597</v>
      </c>
      <c r="N571" s="23">
        <f t="shared" ref="N571:N605" si="123">IF(M571=0,0, IF(M571&gt;0,LOG10(M571), -LOG10(-1*M571)))</f>
        <v>5.2420367772009424</v>
      </c>
      <c r="O571" t="s">
        <v>462</v>
      </c>
      <c r="P571">
        <v>4</v>
      </c>
      <c r="Q571" t="s">
        <v>969</v>
      </c>
      <c r="S571" t="s">
        <v>993</v>
      </c>
    </row>
    <row r="572" spans="1:19" x14ac:dyDescent="0.4">
      <c r="A572" t="s">
        <v>1423</v>
      </c>
      <c r="B572" s="24">
        <v>1803</v>
      </c>
      <c r="C572" s="24">
        <v>11</v>
      </c>
      <c r="D572" s="24">
        <v>20</v>
      </c>
      <c r="G572" s="20">
        <f t="shared" si="115"/>
        <v>54716126400</v>
      </c>
      <c r="J572" t="s">
        <v>656</v>
      </c>
      <c r="K572" s="22" t="str">
        <f t="shared" si="120"/>
        <v>point</v>
      </c>
      <c r="M572" s="23">
        <f t="shared" si="122"/>
        <v>177933</v>
      </c>
      <c r="N572" s="23">
        <f t="shared" si="123"/>
        <v>5.250256501140802</v>
      </c>
      <c r="O572" t="s">
        <v>462</v>
      </c>
      <c r="P572">
        <v>5</v>
      </c>
      <c r="Q572" t="s">
        <v>968</v>
      </c>
      <c r="S572" t="s">
        <v>993</v>
      </c>
    </row>
    <row r="573" spans="1:19" x14ac:dyDescent="0.4">
      <c r="A573" t="s">
        <v>1423</v>
      </c>
      <c r="B573" s="20">
        <v>1815</v>
      </c>
      <c r="C573" s="24">
        <v>2</v>
      </c>
      <c r="D573" s="24">
        <v>28</v>
      </c>
      <c r="G573" s="20">
        <f t="shared" si="115"/>
        <v>55071921600</v>
      </c>
      <c r="J573" t="s">
        <v>656</v>
      </c>
      <c r="K573" s="22" t="str">
        <f t="shared" si="120"/>
        <v>point</v>
      </c>
      <c r="M573" s="23">
        <f t="shared" si="122"/>
        <v>276765</v>
      </c>
      <c r="N573" s="23">
        <f t="shared" si="123"/>
        <v>5.4421111679091796</v>
      </c>
      <c r="O573" t="s">
        <v>462</v>
      </c>
      <c r="P573">
        <v>4</v>
      </c>
      <c r="Q573" t="s">
        <v>959</v>
      </c>
      <c r="S573" t="s">
        <v>993</v>
      </c>
    </row>
    <row r="574" spans="1:19" x14ac:dyDescent="0.4">
      <c r="A574" t="s">
        <v>1423</v>
      </c>
      <c r="B574" s="24">
        <v>1864</v>
      </c>
      <c r="G574" s="20">
        <f t="shared" si="115"/>
        <v>56628892800</v>
      </c>
      <c r="J574" t="s">
        <v>656</v>
      </c>
      <c r="K574" s="22" t="str">
        <f t="shared" si="120"/>
        <v>point</v>
      </c>
      <c r="M574" s="23">
        <f t="shared" si="122"/>
        <v>709257</v>
      </c>
      <c r="N574" s="23">
        <f t="shared" si="123"/>
        <v>5.8508036307511064</v>
      </c>
      <c r="O574" t="s">
        <v>992</v>
      </c>
      <c r="P574">
        <v>2</v>
      </c>
      <c r="Q574" t="s">
        <v>970</v>
      </c>
      <c r="S574" t="s">
        <v>993</v>
      </c>
    </row>
    <row r="575" spans="1:19" x14ac:dyDescent="0.4">
      <c r="A575" t="s">
        <v>1423</v>
      </c>
      <c r="B575" s="24">
        <v>1866</v>
      </c>
      <c r="G575" s="20">
        <f t="shared" si="115"/>
        <v>56691964800</v>
      </c>
      <c r="H575" s="20">
        <v>365</v>
      </c>
      <c r="J575" t="s">
        <v>656</v>
      </c>
      <c r="K575" s="22" t="str">
        <f t="shared" ref="K575:K640" si="124">IF(H575="",IF(I575="","point","middle"),"span")</f>
        <v>span</v>
      </c>
      <c r="M575" s="23">
        <f t="shared" si="122"/>
        <v>726777</v>
      </c>
      <c r="N575" s="23">
        <f t="shared" si="123"/>
        <v>5.8614011749222685</v>
      </c>
      <c r="O575" t="s">
        <v>992</v>
      </c>
      <c r="P575">
        <v>2</v>
      </c>
      <c r="Q575" t="s">
        <v>971</v>
      </c>
      <c r="S575" t="s">
        <v>993</v>
      </c>
    </row>
    <row r="576" spans="1:19" x14ac:dyDescent="0.4">
      <c r="A576" t="s">
        <v>1423</v>
      </c>
      <c r="B576" s="20">
        <v>1867</v>
      </c>
      <c r="C576" s="24">
        <v>8</v>
      </c>
      <c r="G576" s="20">
        <f t="shared" si="115"/>
        <v>56727475200</v>
      </c>
      <c r="J576" t="s">
        <v>656</v>
      </c>
      <c r="K576" s="22" t="str">
        <f t="shared" si="124"/>
        <v>point</v>
      </c>
      <c r="M576" s="23">
        <f t="shared" si="122"/>
        <v>736641</v>
      </c>
      <c r="N576" s="23">
        <f t="shared" si="123"/>
        <v>5.8672558871746414</v>
      </c>
      <c r="O576" t="s">
        <v>462</v>
      </c>
      <c r="P576">
        <v>4</v>
      </c>
      <c r="Q576" t="s">
        <v>972</v>
      </c>
      <c r="S576" t="s">
        <v>993</v>
      </c>
    </row>
    <row r="577" spans="1:19" x14ac:dyDescent="0.4">
      <c r="A577" t="s">
        <v>1423</v>
      </c>
      <c r="B577" s="20">
        <v>1869</v>
      </c>
      <c r="C577" s="24">
        <v>3</v>
      </c>
      <c r="G577" s="20">
        <f t="shared" si="115"/>
        <v>56777414400</v>
      </c>
      <c r="H577" s="20">
        <f>8*30*24</f>
        <v>5760</v>
      </c>
      <c r="J577" t="s">
        <v>656</v>
      </c>
      <c r="K577" s="22" t="str">
        <f t="shared" si="124"/>
        <v>span</v>
      </c>
      <c r="M577" s="23">
        <f t="shared" si="122"/>
        <v>750513</v>
      </c>
      <c r="N577" s="23">
        <f t="shared" si="123"/>
        <v>5.8753582192699856</v>
      </c>
      <c r="O577" t="s">
        <v>462</v>
      </c>
      <c r="P577">
        <v>4</v>
      </c>
      <c r="Q577" t="s">
        <v>973</v>
      </c>
      <c r="S577" t="s">
        <v>993</v>
      </c>
    </row>
    <row r="578" spans="1:19" x14ac:dyDescent="0.4">
      <c r="A578" t="s">
        <v>1423</v>
      </c>
      <c r="B578" s="20">
        <v>1875</v>
      </c>
      <c r="C578" s="24">
        <v>6</v>
      </c>
      <c r="D578" s="24">
        <v>14</v>
      </c>
      <c r="G578" s="20">
        <f t="shared" si="115"/>
        <v>56974536000</v>
      </c>
      <c r="J578" t="s">
        <v>656</v>
      </c>
      <c r="K578" s="22" t="str">
        <f t="shared" si="124"/>
        <v>point</v>
      </c>
      <c r="M578" s="23">
        <f t="shared" si="122"/>
        <v>805269</v>
      </c>
      <c r="N578" s="23">
        <f t="shared" si="123"/>
        <v>5.9059409806172294</v>
      </c>
      <c r="O578" t="s">
        <v>462</v>
      </c>
      <c r="P578">
        <v>4</v>
      </c>
      <c r="Q578" t="s">
        <v>955</v>
      </c>
      <c r="S578" t="s">
        <v>993</v>
      </c>
    </row>
    <row r="579" spans="1:19" x14ac:dyDescent="0.4">
      <c r="A579" t="s">
        <v>1423</v>
      </c>
      <c r="B579" s="20">
        <v>1879</v>
      </c>
      <c r="C579" s="24">
        <v>9</v>
      </c>
      <c r="D579" s="24">
        <v>27</v>
      </c>
      <c r="G579" s="20">
        <f t="shared" si="115"/>
        <v>57109838400</v>
      </c>
      <c r="H579" s="20">
        <v>24</v>
      </c>
      <c r="J579" t="s">
        <v>656</v>
      </c>
      <c r="K579" s="22" t="str">
        <f t="shared" si="124"/>
        <v>span</v>
      </c>
      <c r="M579" s="23">
        <f t="shared" si="122"/>
        <v>842853</v>
      </c>
      <c r="N579" s="23">
        <f t="shared" si="123"/>
        <v>5.9257518369548485</v>
      </c>
      <c r="O579" t="s">
        <v>462</v>
      </c>
      <c r="P579">
        <v>4</v>
      </c>
      <c r="S579" t="s">
        <v>993</v>
      </c>
    </row>
    <row r="580" spans="1:19" x14ac:dyDescent="0.4">
      <c r="A580" t="s">
        <v>1423</v>
      </c>
      <c r="B580" s="20">
        <v>1889</v>
      </c>
      <c r="C580" s="24">
        <v>12</v>
      </c>
      <c r="D580" s="24">
        <v>24</v>
      </c>
      <c r="G580" s="20">
        <f t="shared" si="115"/>
        <v>57433060800</v>
      </c>
      <c r="J580" t="s">
        <v>656</v>
      </c>
      <c r="K580" s="22" t="str">
        <f t="shared" si="124"/>
        <v>point</v>
      </c>
      <c r="M580" s="23">
        <f t="shared" si="122"/>
        <v>932637</v>
      </c>
      <c r="N580" s="23">
        <f t="shared" si="123"/>
        <v>5.9697126409888144</v>
      </c>
      <c r="O580" t="s">
        <v>462</v>
      </c>
      <c r="P580">
        <v>4</v>
      </c>
      <c r="Q580" t="s">
        <v>974</v>
      </c>
      <c r="S580" t="s">
        <v>993</v>
      </c>
    </row>
    <row r="581" spans="1:19" x14ac:dyDescent="0.4">
      <c r="A581" t="s">
        <v>1423</v>
      </c>
      <c r="B581" s="24">
        <v>1890</v>
      </c>
      <c r="C581" s="24">
        <v>1</v>
      </c>
      <c r="D581" s="24">
        <v>5</v>
      </c>
      <c r="E581" s="24">
        <v>21</v>
      </c>
      <c r="G581" s="20">
        <f t="shared" si="115"/>
        <v>57434130000</v>
      </c>
      <c r="H581" s="20">
        <v>6</v>
      </c>
      <c r="J581" t="s">
        <v>656</v>
      </c>
      <c r="K581" s="22" t="str">
        <f t="shared" si="124"/>
        <v>span</v>
      </c>
      <c r="M581" s="23">
        <f t="shared" si="122"/>
        <v>932934</v>
      </c>
      <c r="N581" s="23">
        <f t="shared" si="123"/>
        <v>5.9698509208636779</v>
      </c>
      <c r="O581" t="s">
        <v>992</v>
      </c>
      <c r="P581">
        <v>2</v>
      </c>
      <c r="Q581" t="s">
        <v>975</v>
      </c>
      <c r="S581" t="s">
        <v>993</v>
      </c>
    </row>
    <row r="582" spans="1:19" x14ac:dyDescent="0.4">
      <c r="A582" t="s">
        <v>1423</v>
      </c>
      <c r="B582" s="20">
        <v>1894</v>
      </c>
      <c r="C582" s="24">
        <v>4</v>
      </c>
      <c r="G582" s="20">
        <f t="shared" si="115"/>
        <v>57569011200</v>
      </c>
      <c r="H582" s="20">
        <f>3*30*24</f>
        <v>2160</v>
      </c>
      <c r="J582" t="s">
        <v>656</v>
      </c>
      <c r="K582" s="22" t="str">
        <f t="shared" si="124"/>
        <v>span</v>
      </c>
      <c r="M582" s="23">
        <f t="shared" si="122"/>
        <v>970401</v>
      </c>
      <c r="N582" s="23">
        <f t="shared" si="123"/>
        <v>5.986951235400003</v>
      </c>
      <c r="O582" t="s">
        <v>462</v>
      </c>
      <c r="P582">
        <v>4</v>
      </c>
      <c r="Q582" t="s">
        <v>976</v>
      </c>
      <c r="S582" t="s">
        <v>993</v>
      </c>
    </row>
    <row r="583" spans="1:19" x14ac:dyDescent="0.4">
      <c r="A583" t="s">
        <v>1423</v>
      </c>
      <c r="B583" s="20">
        <v>1899</v>
      </c>
      <c r="C583" s="24">
        <v>3</v>
      </c>
      <c r="G583" s="20">
        <f t="shared" si="115"/>
        <v>57724099200</v>
      </c>
      <c r="H583" s="20">
        <f>6*30*24</f>
        <v>4320</v>
      </c>
      <c r="J583" t="s">
        <v>656</v>
      </c>
      <c r="K583" s="22" t="str">
        <f t="shared" si="124"/>
        <v>span</v>
      </c>
      <c r="M583" s="23">
        <f t="shared" si="122"/>
        <v>1013481</v>
      </c>
      <c r="N583" s="23">
        <f t="shared" si="123"/>
        <v>6.0058156112702674</v>
      </c>
      <c r="O583" t="s">
        <v>462</v>
      </c>
      <c r="P583">
        <v>4</v>
      </c>
      <c r="Q583" t="s">
        <v>977</v>
      </c>
      <c r="S583" t="s">
        <v>993</v>
      </c>
    </row>
    <row r="584" spans="1:19" x14ac:dyDescent="0.4">
      <c r="A584" t="s">
        <v>1423</v>
      </c>
      <c r="B584" s="24">
        <v>1905</v>
      </c>
      <c r="C584" s="24">
        <v>10</v>
      </c>
      <c r="D584" s="24">
        <v>21</v>
      </c>
      <c r="G584" s="20">
        <f t="shared" si="115"/>
        <v>-2025864000</v>
      </c>
      <c r="H584" s="20">
        <f>7*24</f>
        <v>168</v>
      </c>
      <c r="J584" t="s">
        <v>656</v>
      </c>
      <c r="K584" s="22" t="str">
        <f t="shared" si="124"/>
        <v>span</v>
      </c>
      <c r="M584" s="23">
        <f t="shared" si="122"/>
        <v>-15583731</v>
      </c>
      <c r="N584" s="23">
        <f t="shared" si="123"/>
        <v>-7.1926714429852643</v>
      </c>
      <c r="O584" t="s">
        <v>992</v>
      </c>
      <c r="P584">
        <v>2</v>
      </c>
      <c r="Q584" t="s">
        <v>970</v>
      </c>
      <c r="S584" t="s">
        <v>993</v>
      </c>
    </row>
    <row r="585" spans="1:19" x14ac:dyDescent="0.4">
      <c r="A585" t="s">
        <v>1423</v>
      </c>
      <c r="B585" s="24">
        <v>1906</v>
      </c>
      <c r="C585" s="24">
        <v>4</v>
      </c>
      <c r="D585" s="24">
        <v>6</v>
      </c>
      <c r="G585" s="20">
        <f t="shared" si="115"/>
        <v>-2011435200</v>
      </c>
      <c r="H585" s="20">
        <f>14*24</f>
        <v>336</v>
      </c>
      <c r="J585" t="s">
        <v>656</v>
      </c>
      <c r="K585" s="22" t="str">
        <f t="shared" si="124"/>
        <v>span</v>
      </c>
      <c r="M585" s="23">
        <f t="shared" si="122"/>
        <v>-15579723</v>
      </c>
      <c r="N585" s="23">
        <f t="shared" si="123"/>
        <v>-7.1925597318576679</v>
      </c>
      <c r="O585" t="s">
        <v>992</v>
      </c>
      <c r="P585">
        <v>2</v>
      </c>
      <c r="Q585" t="s">
        <v>970</v>
      </c>
      <c r="S585" t="s">
        <v>993</v>
      </c>
    </row>
    <row r="586" spans="1:19" x14ac:dyDescent="0.4">
      <c r="A586" t="s">
        <v>1423</v>
      </c>
      <c r="B586" s="24">
        <v>1929</v>
      </c>
      <c r="C586" s="24">
        <v>12</v>
      </c>
      <c r="D586" s="24">
        <v>8</v>
      </c>
      <c r="G586" s="20">
        <f t="shared" si="115"/>
        <v>-1264334400</v>
      </c>
      <c r="J586" t="s">
        <v>656</v>
      </c>
      <c r="K586" s="22" t="str">
        <f t="shared" si="124"/>
        <v>point</v>
      </c>
      <c r="M586" s="23">
        <f t="shared" si="122"/>
        <v>-15372195</v>
      </c>
      <c r="N586" s="23">
        <f t="shared" si="123"/>
        <v>-7.1867358849574705</v>
      </c>
      <c r="O586" t="s">
        <v>462</v>
      </c>
      <c r="P586">
        <v>5</v>
      </c>
      <c r="Q586" t="s">
        <v>978</v>
      </c>
      <c r="S586" t="s">
        <v>993</v>
      </c>
    </row>
    <row r="587" spans="1:19" x14ac:dyDescent="0.4">
      <c r="A587" t="s">
        <v>1423</v>
      </c>
      <c r="B587" s="24">
        <v>1936</v>
      </c>
      <c r="C587" s="24">
        <v>3</v>
      </c>
      <c r="D587" s="24">
        <v>18</v>
      </c>
      <c r="G587" s="20">
        <f t="shared" si="115"/>
        <v>-1066305600</v>
      </c>
      <c r="J587" t="s">
        <v>656</v>
      </c>
      <c r="K587" s="22" t="str">
        <f t="shared" si="124"/>
        <v>point</v>
      </c>
      <c r="M587" s="23">
        <f t="shared" si="122"/>
        <v>-15317187</v>
      </c>
      <c r="N587" s="23">
        <f t="shared" si="123"/>
        <v>-7.1851790144773586</v>
      </c>
      <c r="O587" t="s">
        <v>462</v>
      </c>
      <c r="P587">
        <v>5</v>
      </c>
      <c r="Q587" t="s">
        <v>979</v>
      </c>
      <c r="S587" t="s">
        <v>993</v>
      </c>
    </row>
    <row r="588" spans="1:19" x14ac:dyDescent="0.4">
      <c r="A588" t="s">
        <v>1423</v>
      </c>
      <c r="B588" s="24">
        <v>1954</v>
      </c>
      <c r="C588" s="24">
        <v>6</v>
      </c>
      <c r="D588" s="24">
        <v>24</v>
      </c>
      <c r="G588" s="20">
        <f t="shared" si="115"/>
        <v>-489844800</v>
      </c>
      <c r="J588" t="s">
        <v>656</v>
      </c>
      <c r="K588" s="22" t="str">
        <f t="shared" si="124"/>
        <v>point</v>
      </c>
      <c r="M588" s="23">
        <f t="shared" si="122"/>
        <v>-15157059</v>
      </c>
      <c r="N588" s="23">
        <f t="shared" si="123"/>
        <v>-7.1806149411390532</v>
      </c>
      <c r="O588" t="s">
        <v>462</v>
      </c>
      <c r="P588">
        <v>5</v>
      </c>
      <c r="Q588" t="s">
        <v>978</v>
      </c>
      <c r="S588" t="s">
        <v>993</v>
      </c>
    </row>
    <row r="589" spans="1:19" x14ac:dyDescent="0.4">
      <c r="A589" t="s">
        <v>1423</v>
      </c>
      <c r="B589" s="24">
        <v>1965</v>
      </c>
      <c r="C589" s="24">
        <v>5</v>
      </c>
      <c r="D589" s="24">
        <v>23</v>
      </c>
      <c r="G589" s="20">
        <f t="shared" si="115"/>
        <v>-145454400</v>
      </c>
      <c r="J589" t="s">
        <v>656</v>
      </c>
      <c r="K589" s="22" t="str">
        <f t="shared" si="124"/>
        <v>point</v>
      </c>
      <c r="M589" s="23">
        <f t="shared" si="122"/>
        <v>-15061395</v>
      </c>
      <c r="N589" s="23">
        <f t="shared" si="123"/>
        <v>-7.1778651984745512</v>
      </c>
      <c r="O589" t="s">
        <v>462</v>
      </c>
      <c r="P589">
        <v>3</v>
      </c>
      <c r="Q589" t="s">
        <v>980</v>
      </c>
      <c r="S589" t="s">
        <v>993</v>
      </c>
    </row>
    <row r="590" spans="1:19" x14ac:dyDescent="0.4">
      <c r="A590" t="s">
        <v>1423</v>
      </c>
      <c r="B590" s="24">
        <v>1973</v>
      </c>
      <c r="C590" s="24">
        <v>2</v>
      </c>
      <c r="D590" s="24">
        <v>1</v>
      </c>
      <c r="G590" s="20">
        <f t="shared" si="115"/>
        <v>97416000</v>
      </c>
      <c r="H590" s="20">
        <f>4*30*24</f>
        <v>2880</v>
      </c>
      <c r="J590" t="s">
        <v>656</v>
      </c>
      <c r="K590" s="22" t="str">
        <f t="shared" si="124"/>
        <v>span</v>
      </c>
      <c r="M590" s="23">
        <f t="shared" si="122"/>
        <v>-14993931</v>
      </c>
      <c r="N590" s="23">
        <f t="shared" si="123"/>
        <v>-7.1759155079514567</v>
      </c>
      <c r="O590" t="s">
        <v>462</v>
      </c>
      <c r="P590">
        <v>4</v>
      </c>
      <c r="S590" t="s">
        <v>993</v>
      </c>
    </row>
    <row r="591" spans="1:19" x14ac:dyDescent="0.4">
      <c r="A591" t="s">
        <v>1423</v>
      </c>
      <c r="B591" s="24">
        <v>1981</v>
      </c>
      <c r="C591" s="24">
        <v>3</v>
      </c>
      <c r="G591" s="20">
        <f t="shared" si="115"/>
        <v>353548800</v>
      </c>
      <c r="J591" t="s">
        <v>656</v>
      </c>
      <c r="K591" s="22" t="str">
        <f t="shared" si="124"/>
        <v>point</v>
      </c>
      <c r="M591" s="23">
        <f t="shared" si="122"/>
        <v>-14922783</v>
      </c>
      <c r="N591" s="23">
        <f t="shared" si="123"/>
        <v>-7.1738498237287622</v>
      </c>
      <c r="O591" t="s">
        <v>992</v>
      </c>
      <c r="P591">
        <v>2</v>
      </c>
      <c r="Q591" t="s">
        <v>981</v>
      </c>
      <c r="S591" t="s">
        <v>993</v>
      </c>
    </row>
    <row r="592" spans="1:19" x14ac:dyDescent="0.4">
      <c r="A592" t="s">
        <v>1423</v>
      </c>
      <c r="B592" s="24">
        <v>1981</v>
      </c>
      <c r="C592" s="24">
        <v>8</v>
      </c>
      <c r="G592" s="20">
        <f t="shared" si="115"/>
        <v>366768000</v>
      </c>
      <c r="J592" t="s">
        <v>656</v>
      </c>
      <c r="K592" s="22" t="str">
        <f t="shared" si="124"/>
        <v>point</v>
      </c>
      <c r="M592" s="23">
        <f t="shared" si="122"/>
        <v>-14919111</v>
      </c>
      <c r="N592" s="23">
        <f t="shared" si="123"/>
        <v>-7.1737429451676631</v>
      </c>
      <c r="O592" t="s">
        <v>992</v>
      </c>
      <c r="P592">
        <v>2</v>
      </c>
      <c r="Q592" t="s">
        <v>981</v>
      </c>
      <c r="S592" t="s">
        <v>993</v>
      </c>
    </row>
    <row r="593" spans="1:19" x14ac:dyDescent="0.4">
      <c r="A593" t="s">
        <v>1423</v>
      </c>
      <c r="B593" s="24">
        <v>1982</v>
      </c>
      <c r="C593" s="24">
        <v>1</v>
      </c>
      <c r="D593" s="24">
        <v>17</v>
      </c>
      <c r="G593" s="20">
        <f t="shared" si="115"/>
        <v>380116800</v>
      </c>
      <c r="J593" t="s">
        <v>656</v>
      </c>
      <c r="K593" s="22" t="str">
        <f t="shared" si="124"/>
        <v>point</v>
      </c>
      <c r="M593" s="23">
        <f t="shared" si="122"/>
        <v>-14915403</v>
      </c>
      <c r="N593" s="23">
        <f t="shared" si="123"/>
        <v>-7.1736349920803635</v>
      </c>
      <c r="O593" t="s">
        <v>992</v>
      </c>
      <c r="P593">
        <v>2</v>
      </c>
      <c r="Q593" t="s">
        <v>981</v>
      </c>
      <c r="S593" t="s">
        <v>993</v>
      </c>
    </row>
    <row r="594" spans="1:19" x14ac:dyDescent="0.4">
      <c r="A594" t="s">
        <v>1423</v>
      </c>
      <c r="B594" s="24">
        <v>1982</v>
      </c>
      <c r="C594" s="24">
        <v>4</v>
      </c>
      <c r="D594" s="24">
        <v>26</v>
      </c>
      <c r="E594" s="24">
        <v>2</v>
      </c>
      <c r="F594" s="24">
        <v>25</v>
      </c>
      <c r="G594" s="20">
        <f t="shared" si="115"/>
        <v>388635900.00000006</v>
      </c>
      <c r="J594" t="s">
        <v>656</v>
      </c>
      <c r="K594" s="22" t="str">
        <f t="shared" si="124"/>
        <v>point</v>
      </c>
      <c r="M594" s="23">
        <f t="shared" si="122"/>
        <v>-14913036.583333334</v>
      </c>
      <c r="N594" s="23">
        <f t="shared" si="123"/>
        <v>-7.173566083232517</v>
      </c>
      <c r="O594" t="s">
        <v>462</v>
      </c>
      <c r="P594">
        <v>5</v>
      </c>
      <c r="Q594" t="s">
        <v>982</v>
      </c>
      <c r="S594" t="s">
        <v>993</v>
      </c>
    </row>
    <row r="595" spans="1:19" x14ac:dyDescent="0.4">
      <c r="A595" t="s">
        <v>1423</v>
      </c>
      <c r="B595" s="24">
        <v>1982</v>
      </c>
      <c r="C595" s="24">
        <v>10</v>
      </c>
      <c r="D595" s="24">
        <v>2</v>
      </c>
      <c r="G595" s="20">
        <f t="shared" si="115"/>
        <v>402408000</v>
      </c>
      <c r="J595" t="s">
        <v>656</v>
      </c>
      <c r="K595" s="22" t="str">
        <f t="shared" si="124"/>
        <v>point</v>
      </c>
      <c r="M595" s="23">
        <f t="shared" si="122"/>
        <v>-14909211</v>
      </c>
      <c r="N595" s="23">
        <f t="shared" si="123"/>
        <v>-7.1734546610644729</v>
      </c>
      <c r="O595" t="s">
        <v>462</v>
      </c>
      <c r="P595">
        <v>3</v>
      </c>
      <c r="Q595" t="s">
        <v>983</v>
      </c>
      <c r="S595" t="s">
        <v>993</v>
      </c>
    </row>
    <row r="596" spans="1:19" x14ac:dyDescent="0.4">
      <c r="A596" t="s">
        <v>1423</v>
      </c>
      <c r="B596" s="24">
        <v>1983</v>
      </c>
      <c r="C596" s="24">
        <v>4</v>
      </c>
      <c r="D596" s="24">
        <v>8</v>
      </c>
      <c r="E596" s="24">
        <v>1</v>
      </c>
      <c r="F596" s="24">
        <v>59</v>
      </c>
      <c r="G596" s="20">
        <f t="shared" si="115"/>
        <v>418615140</v>
      </c>
      <c r="J596" t="s">
        <v>656</v>
      </c>
      <c r="K596" s="22" t="str">
        <f t="shared" si="124"/>
        <v>point</v>
      </c>
      <c r="M596" s="23">
        <f t="shared" si="122"/>
        <v>-14904709.016666668</v>
      </c>
      <c r="N596" s="23">
        <f t="shared" si="123"/>
        <v>-7.1733235017581451</v>
      </c>
      <c r="O596" t="s">
        <v>462</v>
      </c>
      <c r="P596">
        <v>5</v>
      </c>
      <c r="Q596" t="s">
        <v>984</v>
      </c>
      <c r="S596" t="s">
        <v>993</v>
      </c>
    </row>
    <row r="597" spans="1:19" x14ac:dyDescent="0.4">
      <c r="A597" t="s">
        <v>1423</v>
      </c>
      <c r="B597" s="24">
        <v>1990</v>
      </c>
      <c r="G597" s="20">
        <f t="shared" si="115"/>
        <v>646790400</v>
      </c>
      <c r="H597" s="20">
        <f>13*365*24</f>
        <v>113880</v>
      </c>
      <c r="J597" t="s">
        <v>656</v>
      </c>
      <c r="K597" s="22" t="str">
        <f t="shared" si="124"/>
        <v>span</v>
      </c>
      <c r="M597" s="23">
        <f t="shared" si="122"/>
        <v>-14841327</v>
      </c>
      <c r="N597" s="23">
        <f t="shared" si="123"/>
        <v>-7.1714727340300781</v>
      </c>
      <c r="O597" t="s">
        <v>992</v>
      </c>
      <c r="P597">
        <v>1</v>
      </c>
      <c r="Q597" t="s">
        <v>985</v>
      </c>
      <c r="S597" t="s">
        <v>993</v>
      </c>
    </row>
    <row r="598" spans="1:19" x14ac:dyDescent="0.4">
      <c r="A598" t="s">
        <v>1423</v>
      </c>
      <c r="B598" s="24">
        <v>1990</v>
      </c>
      <c r="C598" s="24">
        <v>7</v>
      </c>
      <c r="D598" s="24">
        <v>20</v>
      </c>
      <c r="G598" s="20">
        <f t="shared" si="115"/>
        <v>648475200</v>
      </c>
      <c r="J598" t="s">
        <v>656</v>
      </c>
      <c r="K598" s="22" t="str">
        <f t="shared" si="124"/>
        <v>point</v>
      </c>
      <c r="M598" s="23">
        <f t="shared" si="122"/>
        <v>-14840859</v>
      </c>
      <c r="N598" s="23">
        <f t="shared" si="123"/>
        <v>-7.1714590389594015</v>
      </c>
      <c r="O598" t="s">
        <v>462</v>
      </c>
      <c r="P598">
        <v>4</v>
      </c>
      <c r="S598" t="s">
        <v>993</v>
      </c>
    </row>
    <row r="599" spans="1:19" x14ac:dyDescent="0.4">
      <c r="A599" t="s">
        <v>1423</v>
      </c>
      <c r="B599" s="24">
        <v>2003</v>
      </c>
      <c r="C599" s="24">
        <v>2</v>
      </c>
      <c r="D599" s="24">
        <v>6</v>
      </c>
      <c r="G599" s="20">
        <f t="shared" si="115"/>
        <v>1044532800</v>
      </c>
      <c r="H599" s="20">
        <f>60*24</f>
        <v>1440</v>
      </c>
      <c r="J599" t="s">
        <v>656</v>
      </c>
      <c r="K599" s="22" t="str">
        <f t="shared" si="124"/>
        <v>span</v>
      </c>
      <c r="M599" s="23">
        <f t="shared" si="122"/>
        <v>-14730843</v>
      </c>
      <c r="N599" s="23">
        <f t="shared" si="123"/>
        <v>-7.1682276008665529</v>
      </c>
      <c r="O599" t="s">
        <v>462</v>
      </c>
      <c r="P599">
        <v>4</v>
      </c>
      <c r="S599" t="s">
        <v>993</v>
      </c>
    </row>
    <row r="600" spans="1:19" x14ac:dyDescent="0.4">
      <c r="A600" t="s">
        <v>1423</v>
      </c>
      <c r="B600" s="24">
        <v>2004</v>
      </c>
      <c r="C600" s="24">
        <v>9</v>
      </c>
      <c r="D600" s="24">
        <v>1</v>
      </c>
      <c r="G600" s="20">
        <f t="shared" si="115"/>
        <v>1094040000</v>
      </c>
      <c r="H600" s="20">
        <f>75*24</f>
        <v>1800</v>
      </c>
      <c r="J600" t="s">
        <v>656</v>
      </c>
      <c r="K600" s="22" t="str">
        <f>IF(H600="",IF(I600="","point","middle"),"span")</f>
        <v>span</v>
      </c>
      <c r="M600" s="23">
        <f t="shared" si="122"/>
        <v>-14717091</v>
      </c>
      <c r="N600" s="23">
        <f t="shared" si="123"/>
        <v>-7.1678219752529335</v>
      </c>
      <c r="O600" t="s">
        <v>462</v>
      </c>
      <c r="P600">
        <v>4</v>
      </c>
      <c r="Q600" t="s">
        <v>986</v>
      </c>
      <c r="S600" t="s">
        <v>993</v>
      </c>
    </row>
    <row r="601" spans="1:19" x14ac:dyDescent="0.4">
      <c r="A601" t="s">
        <v>1423</v>
      </c>
      <c r="B601" s="24">
        <v>2004</v>
      </c>
      <c r="C601" s="24">
        <v>9</v>
      </c>
      <c r="D601" s="24">
        <v>16</v>
      </c>
      <c r="G601" s="20">
        <f t="shared" si="115"/>
        <v>1095336000</v>
      </c>
      <c r="J601" t="s">
        <v>656</v>
      </c>
      <c r="K601" s="22" t="str">
        <f t="shared" si="124"/>
        <v>point</v>
      </c>
      <c r="M601" s="23">
        <f t="shared" si="122"/>
        <v>-14716731</v>
      </c>
      <c r="N601" s="23">
        <f t="shared" si="123"/>
        <v>-7.1678113516911344</v>
      </c>
      <c r="O601" t="s">
        <v>462</v>
      </c>
      <c r="P601">
        <v>5</v>
      </c>
      <c r="Q601" t="s">
        <v>987</v>
      </c>
      <c r="S601" t="s">
        <v>993</v>
      </c>
    </row>
    <row r="602" spans="1:19" x14ac:dyDescent="0.4">
      <c r="A602" t="s">
        <v>1423</v>
      </c>
      <c r="B602" s="24">
        <v>2008</v>
      </c>
      <c r="C602" s="24">
        <v>2</v>
      </c>
      <c r="D602" s="24">
        <v>2</v>
      </c>
      <c r="E602" s="24">
        <v>1</v>
      </c>
      <c r="F602" s="24">
        <v>51</v>
      </c>
      <c r="G602" s="20">
        <f t="shared" si="115"/>
        <v>1201917059.9999998</v>
      </c>
      <c r="H602" s="20">
        <f>115*24</f>
        <v>2760</v>
      </c>
      <c r="J602" t="s">
        <v>656</v>
      </c>
      <c r="K602" s="22" t="str">
        <f t="shared" si="124"/>
        <v>span</v>
      </c>
      <c r="M602" s="23">
        <f t="shared" si="122"/>
        <v>-14687125.15</v>
      </c>
      <c r="N602" s="23">
        <f t="shared" si="123"/>
        <v>-7.1669367955399661</v>
      </c>
      <c r="O602" t="s">
        <v>462</v>
      </c>
      <c r="P602">
        <v>4</v>
      </c>
      <c r="Q602" t="s">
        <v>986</v>
      </c>
      <c r="S602" t="s">
        <v>993</v>
      </c>
    </row>
    <row r="603" spans="1:19" x14ac:dyDescent="0.4">
      <c r="A603" t="s">
        <v>1423</v>
      </c>
      <c r="B603" s="24">
        <v>2008</v>
      </c>
      <c r="C603" s="24">
        <v>2</v>
      </c>
      <c r="D603" s="24">
        <v>2</v>
      </c>
      <c r="E603" s="24">
        <v>1</v>
      </c>
      <c r="F603" s="24">
        <v>51</v>
      </c>
      <c r="G603" s="20">
        <f t="shared" si="115"/>
        <v>1201917059.9999998</v>
      </c>
      <c r="J603" t="s">
        <v>656</v>
      </c>
      <c r="K603" s="22" t="str">
        <f t="shared" si="124"/>
        <v>point</v>
      </c>
      <c r="M603" s="23">
        <f t="shared" si="122"/>
        <v>-14687125.15</v>
      </c>
      <c r="N603" s="23">
        <f t="shared" si="123"/>
        <v>-7.1669367955399661</v>
      </c>
      <c r="O603" t="s">
        <v>462</v>
      </c>
      <c r="P603">
        <v>5</v>
      </c>
      <c r="Q603" t="s">
        <v>988</v>
      </c>
      <c r="S603" t="s">
        <v>993</v>
      </c>
    </row>
    <row r="604" spans="1:19" x14ac:dyDescent="0.4">
      <c r="A604" t="s">
        <v>1423</v>
      </c>
      <c r="B604" s="24">
        <v>2011</v>
      </c>
      <c r="C604" s="24">
        <v>3</v>
      </c>
      <c r="D604" s="24">
        <v>12</v>
      </c>
      <c r="G604" s="20">
        <f t="shared" si="115"/>
        <v>1299931200</v>
      </c>
      <c r="H604" s="20">
        <f>30*24</f>
        <v>720</v>
      </c>
      <c r="J604" t="s">
        <v>656</v>
      </c>
      <c r="K604" s="22" t="str">
        <f t="shared" si="124"/>
        <v>span</v>
      </c>
      <c r="M604" s="23">
        <f t="shared" si="122"/>
        <v>-14659899</v>
      </c>
      <c r="N604" s="23">
        <f t="shared" si="123"/>
        <v>-7.1661309782250431</v>
      </c>
      <c r="O604" t="s">
        <v>464</v>
      </c>
      <c r="P604">
        <v>2</v>
      </c>
      <c r="Q604" t="s">
        <v>989</v>
      </c>
      <c r="S604" t="s">
        <v>993</v>
      </c>
    </row>
    <row r="605" spans="1:19" x14ac:dyDescent="0.4">
      <c r="A605" t="s">
        <v>1423</v>
      </c>
      <c r="B605" s="24">
        <v>2015</v>
      </c>
      <c r="C605" s="24">
        <v>6</v>
      </c>
      <c r="D605" s="24">
        <v>16</v>
      </c>
      <c r="E605" s="24">
        <v>8</v>
      </c>
      <c r="F605" s="24">
        <v>50</v>
      </c>
      <c r="G605" s="20">
        <f t="shared" si="115"/>
        <v>1434444600</v>
      </c>
      <c r="H605" s="20">
        <f>3*24</f>
        <v>72</v>
      </c>
      <c r="J605" t="s">
        <v>656</v>
      </c>
      <c r="K605" s="22" t="str">
        <f t="shared" si="124"/>
        <v>span</v>
      </c>
      <c r="M605" s="23">
        <f t="shared" si="122"/>
        <v>-14622534.166666666</v>
      </c>
      <c r="N605" s="23">
        <f t="shared" si="123"/>
        <v>-7.1650226447987357</v>
      </c>
      <c r="O605" t="s">
        <v>462</v>
      </c>
      <c r="P605">
        <v>3</v>
      </c>
      <c r="Q605" t="s">
        <v>990</v>
      </c>
      <c r="S605" t="s">
        <v>993</v>
      </c>
    </row>
    <row r="606" spans="1:19" x14ac:dyDescent="0.4">
      <c r="A606" t="s">
        <v>1418</v>
      </c>
      <c r="B606" s="24">
        <v>62</v>
      </c>
      <c r="C606" s="24">
        <v>2</v>
      </c>
      <c r="G606" s="20">
        <f t="shared" si="115"/>
        <v>-248486400</v>
      </c>
      <c r="J606" t="s">
        <v>656</v>
      </c>
      <c r="K606" s="22" t="str">
        <f t="shared" si="124"/>
        <v>point</v>
      </c>
      <c r="M606" s="23">
        <f t="shared" ref="M606:M607" si="125">(G606-304347600)/3600</f>
        <v>-153565</v>
      </c>
      <c r="N606" s="23">
        <f t="shared" si="116"/>
        <v>-5.1862922440878396</v>
      </c>
      <c r="O606" t="s">
        <v>779</v>
      </c>
      <c r="P606">
        <v>-1</v>
      </c>
      <c r="Q606" t="s">
        <v>769</v>
      </c>
      <c r="S606" t="s">
        <v>772</v>
      </c>
    </row>
    <row r="607" spans="1:19" x14ac:dyDescent="0.4">
      <c r="A607" t="s">
        <v>1418</v>
      </c>
      <c r="B607" s="24">
        <v>79</v>
      </c>
      <c r="C607" s="24">
        <v>8</v>
      </c>
      <c r="D607" s="24">
        <v>20</v>
      </c>
      <c r="G607" s="20">
        <f t="shared" si="115"/>
        <v>303998400</v>
      </c>
      <c r="H607" s="20">
        <f>4*24</f>
        <v>96</v>
      </c>
      <c r="J607" t="s">
        <v>656</v>
      </c>
      <c r="K607" s="22" t="str">
        <f t="shared" si="124"/>
        <v>span</v>
      </c>
      <c r="M607" s="23">
        <f t="shared" si="125"/>
        <v>-97</v>
      </c>
      <c r="N607" s="23">
        <f t="shared" si="116"/>
        <v>-1.9867717342662448</v>
      </c>
      <c r="O607" t="s">
        <v>779</v>
      </c>
      <c r="P607">
        <v>2</v>
      </c>
      <c r="Q607" t="s">
        <v>770</v>
      </c>
      <c r="S607" t="s">
        <v>772</v>
      </c>
    </row>
    <row r="608" spans="1:19" x14ac:dyDescent="0.4">
      <c r="A608" t="s">
        <v>1418</v>
      </c>
      <c r="B608" s="24">
        <v>79</v>
      </c>
      <c r="C608" s="24">
        <v>8</v>
      </c>
      <c r="D608" s="24">
        <v>24</v>
      </c>
      <c r="E608" s="24">
        <v>13</v>
      </c>
      <c r="F608" s="24">
        <v>0</v>
      </c>
      <c r="G608" s="20">
        <f t="shared" si="115"/>
        <v>304347600.00000012</v>
      </c>
      <c r="H608" s="20">
        <v>18</v>
      </c>
      <c r="J608" t="s">
        <v>656</v>
      </c>
      <c r="K608" s="22" t="str">
        <f t="shared" si="124"/>
        <v>span</v>
      </c>
      <c r="L608" s="20" t="s">
        <v>762</v>
      </c>
      <c r="M608" s="23">
        <f>(G608-304347600)/3600</f>
        <v>3.3113691541883681E-11</v>
      </c>
      <c r="N608" s="23">
        <f t="shared" si="116"/>
        <v>-10.479992401038855</v>
      </c>
      <c r="O608" t="s">
        <v>462</v>
      </c>
      <c r="P608">
        <v>6</v>
      </c>
      <c r="Q608" t="s">
        <v>782</v>
      </c>
      <c r="S608" t="s">
        <v>772</v>
      </c>
    </row>
    <row r="609" spans="1:19" x14ac:dyDescent="0.4">
      <c r="A609" t="s">
        <v>1418</v>
      </c>
      <c r="B609" s="24">
        <v>79</v>
      </c>
      <c r="C609" s="24">
        <v>8</v>
      </c>
      <c r="D609" s="24">
        <v>24</v>
      </c>
      <c r="E609" s="24">
        <v>20</v>
      </c>
      <c r="F609" s="24">
        <v>0</v>
      </c>
      <c r="G609" s="20">
        <f t="shared" si="115"/>
        <v>304372799.99999988</v>
      </c>
      <c r="J609" t="s">
        <v>656</v>
      </c>
      <c r="K609" s="22" t="str">
        <f t="shared" si="124"/>
        <v>point</v>
      </c>
      <c r="M609" s="23">
        <f t="shared" ref="M609:M616" si="126">(G609-304347600)/3600</f>
        <v>6.999999999966886</v>
      </c>
      <c r="N609" s="23">
        <f t="shared" si="116"/>
        <v>0.84509804001220235</v>
      </c>
      <c r="O609" t="s">
        <v>462</v>
      </c>
      <c r="P609">
        <v>6</v>
      </c>
      <c r="Q609" t="s">
        <v>775</v>
      </c>
      <c r="R609" t="s">
        <v>778</v>
      </c>
      <c r="S609" t="s">
        <v>774</v>
      </c>
    </row>
    <row r="610" spans="1:19" x14ac:dyDescent="0.4">
      <c r="A610" t="s">
        <v>1418</v>
      </c>
      <c r="B610" s="24">
        <v>79</v>
      </c>
      <c r="C610" s="24">
        <v>8</v>
      </c>
      <c r="D610" s="24">
        <v>25</v>
      </c>
      <c r="E610" s="24">
        <v>2</v>
      </c>
      <c r="F610" s="24">
        <v>0</v>
      </c>
      <c r="G610" s="20">
        <f t="shared" si="115"/>
        <v>304394399.99999988</v>
      </c>
      <c r="J610" t="s">
        <v>656</v>
      </c>
      <c r="K610" s="22" t="str">
        <f t="shared" si="124"/>
        <v>point</v>
      </c>
      <c r="M610" s="23">
        <f t="shared" si="126"/>
        <v>12.999999999966887</v>
      </c>
      <c r="N610" s="23">
        <f t="shared" si="116"/>
        <v>1.1139433523057305</v>
      </c>
      <c r="O610" t="s">
        <v>462</v>
      </c>
      <c r="P610">
        <v>6</v>
      </c>
      <c r="Q610" t="s">
        <v>783</v>
      </c>
      <c r="R610" t="s">
        <v>777</v>
      </c>
      <c r="S610" t="s">
        <v>774</v>
      </c>
    </row>
    <row r="611" spans="1:19" x14ac:dyDescent="0.4">
      <c r="A611" t="s">
        <v>1418</v>
      </c>
      <c r="B611" s="24">
        <v>79</v>
      </c>
      <c r="C611" s="24">
        <v>8</v>
      </c>
      <c r="D611" s="24">
        <v>25</v>
      </c>
      <c r="E611" s="24">
        <v>6</v>
      </c>
      <c r="F611" s="24">
        <v>30</v>
      </c>
      <c r="G611" s="20">
        <f t="shared" si="115"/>
        <v>304410599.99999988</v>
      </c>
      <c r="J611" t="s">
        <v>656</v>
      </c>
      <c r="K611" s="22" t="str">
        <f t="shared" si="124"/>
        <v>point</v>
      </c>
      <c r="M611" s="23">
        <f t="shared" si="126"/>
        <v>17.499999999966885</v>
      </c>
      <c r="N611" s="23">
        <f t="shared" si="116"/>
        <v>1.2430380486854726</v>
      </c>
      <c r="O611" t="s">
        <v>462</v>
      </c>
      <c r="P611">
        <v>2</v>
      </c>
      <c r="Q611" t="s">
        <v>771</v>
      </c>
      <c r="S611" t="s">
        <v>772</v>
      </c>
    </row>
    <row r="612" spans="1:19" x14ac:dyDescent="0.4">
      <c r="A612" t="s">
        <v>1418</v>
      </c>
      <c r="B612" s="24">
        <v>79</v>
      </c>
      <c r="C612" s="24">
        <v>8</v>
      </c>
      <c r="D612" s="24">
        <v>25</v>
      </c>
      <c r="E612" s="24">
        <v>8</v>
      </c>
      <c r="F612" s="24">
        <v>0</v>
      </c>
      <c r="G612" s="20">
        <f t="shared" si="115"/>
        <v>304415999.99999988</v>
      </c>
      <c r="J612" t="s">
        <v>656</v>
      </c>
      <c r="K612" s="22" t="str">
        <f t="shared" si="124"/>
        <v>point</v>
      </c>
      <c r="L612" s="20" t="s">
        <v>671</v>
      </c>
      <c r="M612" s="23">
        <f t="shared" si="126"/>
        <v>18.999999999966885</v>
      </c>
      <c r="N612" s="23">
        <f t="shared" si="116"/>
        <v>1.2787536009520721</v>
      </c>
      <c r="O612" t="s">
        <v>462</v>
      </c>
      <c r="P612">
        <v>6</v>
      </c>
      <c r="Q612" t="s">
        <v>784</v>
      </c>
      <c r="R612" t="s">
        <v>776</v>
      </c>
      <c r="S612" t="s">
        <v>774</v>
      </c>
    </row>
    <row r="613" spans="1:19" x14ac:dyDescent="0.4">
      <c r="A613" t="s">
        <v>1418</v>
      </c>
      <c r="B613" s="24">
        <v>79</v>
      </c>
      <c r="C613" s="24">
        <v>8</v>
      </c>
      <c r="D613" s="24">
        <v>25</v>
      </c>
      <c r="E613" s="24">
        <v>9</v>
      </c>
      <c r="F613" s="24">
        <v>0</v>
      </c>
      <c r="G613" s="20">
        <f t="shared" si="115"/>
        <v>304419600</v>
      </c>
      <c r="J613" t="s">
        <v>656</v>
      </c>
      <c r="K613" s="22" t="str">
        <f t="shared" si="124"/>
        <v>point</v>
      </c>
      <c r="M613" s="23">
        <f t="shared" si="126"/>
        <v>20</v>
      </c>
      <c r="N613" s="23">
        <f t="shared" si="116"/>
        <v>1.3010299956639813</v>
      </c>
      <c r="O613" t="s">
        <v>462</v>
      </c>
      <c r="P613">
        <v>4</v>
      </c>
      <c r="Q613" t="s">
        <v>785</v>
      </c>
      <c r="S613" t="s">
        <v>786</v>
      </c>
    </row>
    <row r="614" spans="1:19" x14ac:dyDescent="0.4">
      <c r="A614" t="s">
        <v>1418</v>
      </c>
      <c r="B614" s="24">
        <v>172</v>
      </c>
      <c r="G614" s="20">
        <f t="shared" si="115"/>
        <v>3234556800</v>
      </c>
      <c r="J614" t="s">
        <v>656</v>
      </c>
      <c r="K614" s="22" t="str">
        <f t="shared" ref="K614:K616" si="127">IF(H614="",IF(I614="","point","middle"),"span")</f>
        <v>point</v>
      </c>
      <c r="M614" s="23">
        <f t="shared" si="126"/>
        <v>813947</v>
      </c>
      <c r="N614" s="23">
        <f t="shared" ref="N614:N616" si="128">IF(M614=0,0, IF(M614&gt;0,LOG10(M614), -LOG10(-1*M614)))</f>
        <v>5.9105961268094491</v>
      </c>
      <c r="O614" t="s">
        <v>462</v>
      </c>
      <c r="P614">
        <v>5</v>
      </c>
      <c r="Q614" t="s">
        <v>1052</v>
      </c>
      <c r="S614" t="s">
        <v>867</v>
      </c>
    </row>
    <row r="615" spans="1:19" x14ac:dyDescent="0.4">
      <c r="A615" t="s">
        <v>1418</v>
      </c>
      <c r="B615" s="24">
        <v>203</v>
      </c>
      <c r="G615" s="20">
        <f t="shared" si="115"/>
        <v>4212691200</v>
      </c>
      <c r="J615" t="s">
        <v>656</v>
      </c>
      <c r="K615" s="22" t="str">
        <f t="shared" si="127"/>
        <v>point</v>
      </c>
      <c r="M615" s="23">
        <f t="shared" si="126"/>
        <v>1085651</v>
      </c>
      <c r="N615" s="23">
        <f t="shared" si="128"/>
        <v>6.0356902367319387</v>
      </c>
      <c r="O615" t="s">
        <v>462</v>
      </c>
      <c r="P615">
        <v>5</v>
      </c>
      <c r="Q615" t="s">
        <v>1058</v>
      </c>
      <c r="S615" t="s">
        <v>867</v>
      </c>
    </row>
    <row r="616" spans="1:19" x14ac:dyDescent="0.4">
      <c r="A616" t="s">
        <v>1418</v>
      </c>
      <c r="B616" s="24">
        <v>222</v>
      </c>
      <c r="G616" s="20">
        <f t="shared" si="115"/>
        <v>4812307200</v>
      </c>
      <c r="H616" s="20">
        <f>3*365*24</f>
        <v>26280</v>
      </c>
      <c r="J616" t="s">
        <v>656</v>
      </c>
      <c r="K616" s="22" t="str">
        <f t="shared" si="127"/>
        <v>span</v>
      </c>
      <c r="M616" s="23">
        <f t="shared" si="126"/>
        <v>1252211</v>
      </c>
      <c r="N616" s="23">
        <f t="shared" si="128"/>
        <v>6.0976775145092459</v>
      </c>
      <c r="O616" t="s">
        <v>462</v>
      </c>
      <c r="P616">
        <v>4</v>
      </c>
      <c r="Q616" t="s">
        <v>1062</v>
      </c>
      <c r="S616" t="s">
        <v>867</v>
      </c>
    </row>
    <row r="617" spans="1:19" x14ac:dyDescent="0.4">
      <c r="A617" t="s">
        <v>1416</v>
      </c>
      <c r="B617" s="24">
        <v>1679</v>
      </c>
      <c r="C617" s="24">
        <v>7</v>
      </c>
      <c r="G617" s="20">
        <f t="shared" si="115"/>
        <v>50792054400</v>
      </c>
      <c r="J617" t="s">
        <v>656</v>
      </c>
      <c r="K617" s="22" t="str">
        <f t="shared" si="124"/>
        <v>point</v>
      </c>
      <c r="M617" s="23">
        <f t="shared" ref="M617:M633" si="129">(G617-57232990800)/3600</f>
        <v>-1789149</v>
      </c>
      <c r="N617" s="23">
        <f t="shared" si="116"/>
        <v>-6.2526465100381472</v>
      </c>
      <c r="O617" t="s">
        <v>991</v>
      </c>
      <c r="P617">
        <v>0</v>
      </c>
      <c r="Q617" t="s">
        <v>921</v>
      </c>
      <c r="S617" t="s">
        <v>934</v>
      </c>
    </row>
    <row r="618" spans="1:19" x14ac:dyDescent="0.4">
      <c r="A618" t="s">
        <v>1416</v>
      </c>
      <c r="B618" s="24">
        <v>1680</v>
      </c>
      <c r="C618" s="24">
        <v>5</v>
      </c>
      <c r="G618" s="20">
        <f t="shared" si="115"/>
        <v>50818406400</v>
      </c>
      <c r="J618" t="s">
        <v>656</v>
      </c>
      <c r="K618" s="22" t="str">
        <f t="shared" si="124"/>
        <v>point</v>
      </c>
      <c r="M618" s="23">
        <f t="shared" si="129"/>
        <v>-1781829</v>
      </c>
      <c r="N618" s="23">
        <f t="shared" si="116"/>
        <v>-6.2508660229781725</v>
      </c>
      <c r="O618" t="s">
        <v>462</v>
      </c>
      <c r="P618">
        <v>5</v>
      </c>
      <c r="Q618" t="s">
        <v>926</v>
      </c>
      <c r="S618" t="s">
        <v>934</v>
      </c>
    </row>
    <row r="619" spans="1:19" x14ac:dyDescent="0.4">
      <c r="A619" t="s">
        <v>1416</v>
      </c>
      <c r="B619" s="24">
        <v>1880</v>
      </c>
      <c r="C619" s="24">
        <v>9</v>
      </c>
      <c r="D619" s="24">
        <v>1</v>
      </c>
      <c r="G619" s="20">
        <f t="shared" si="115"/>
        <v>57139214400</v>
      </c>
      <c r="J619" t="s">
        <v>656</v>
      </c>
      <c r="K619" s="22" t="str">
        <f t="shared" si="124"/>
        <v>point</v>
      </c>
      <c r="M619" s="23">
        <f t="shared" si="129"/>
        <v>-26049</v>
      </c>
      <c r="N619" s="23">
        <f t="shared" si="116"/>
        <v>-4.4157910557423419</v>
      </c>
      <c r="O619" t="s">
        <v>464</v>
      </c>
      <c r="P619">
        <v>-1</v>
      </c>
      <c r="Q619" t="s">
        <v>922</v>
      </c>
      <c r="S619" t="s">
        <v>934</v>
      </c>
    </row>
    <row r="620" spans="1:19" x14ac:dyDescent="0.4">
      <c r="A620" t="s">
        <v>1416</v>
      </c>
      <c r="B620" s="24">
        <v>1883</v>
      </c>
      <c r="C620" s="24">
        <v>5</v>
      </c>
      <c r="D620" s="24">
        <v>9</v>
      </c>
      <c r="G620" s="20">
        <f t="shared" si="115"/>
        <v>57223886400</v>
      </c>
      <c r="H620" s="20">
        <v>24</v>
      </c>
      <c r="J620" t="s">
        <v>656</v>
      </c>
      <c r="K620" s="22" t="str">
        <f t="shared" si="124"/>
        <v>span</v>
      </c>
      <c r="M620" s="23">
        <f t="shared" si="129"/>
        <v>-2529</v>
      </c>
      <c r="N620" s="23">
        <f t="shared" si="116"/>
        <v>-3.4029488293444046</v>
      </c>
      <c r="O620" t="s">
        <v>464</v>
      </c>
      <c r="P620">
        <v>2</v>
      </c>
      <c r="Q620" t="s">
        <v>923</v>
      </c>
      <c r="S620" t="s">
        <v>934</v>
      </c>
    </row>
    <row r="621" spans="1:19" x14ac:dyDescent="0.4">
      <c r="A621" t="s">
        <v>1416</v>
      </c>
      <c r="B621" s="24">
        <v>1883</v>
      </c>
      <c r="C621" s="24">
        <v>5</v>
      </c>
      <c r="D621" s="24">
        <v>15</v>
      </c>
      <c r="G621" s="20">
        <f t="shared" ref="G621:G636" si="130">(IF(C621="",DATE(B621,7,1),IF(D621="",DATE(B621,C621,16), IF(E621="",DATE(B621,C621,D621)+TIME(12,0,0), IF(F621="", DATE(B621,C621,D621)+TIME(E621,0,0),DATE(B621,C621,D621)+TIME(E621,F621,0))))) - 25569)*86400</f>
        <v>57224404800</v>
      </c>
      <c r="H621" s="20">
        <v>120</v>
      </c>
      <c r="J621" t="s">
        <v>656</v>
      </c>
      <c r="K621" s="22" t="str">
        <f t="shared" si="124"/>
        <v>span</v>
      </c>
      <c r="M621" s="23">
        <f t="shared" si="129"/>
        <v>-2385</v>
      </c>
      <c r="N621" s="23">
        <f t="shared" si="116"/>
        <v>-3.3774883833761327</v>
      </c>
      <c r="O621" t="s">
        <v>464</v>
      </c>
      <c r="P621">
        <v>2</v>
      </c>
      <c r="Q621" t="s">
        <v>924</v>
      </c>
      <c r="S621" t="s">
        <v>934</v>
      </c>
    </row>
    <row r="622" spans="1:19" x14ac:dyDescent="0.4">
      <c r="A622" t="s">
        <v>1416</v>
      </c>
      <c r="B622" s="24">
        <v>1883</v>
      </c>
      <c r="C622" s="24">
        <v>5</v>
      </c>
      <c r="D622" s="24">
        <v>17</v>
      </c>
      <c r="E622" s="24">
        <v>10</v>
      </c>
      <c r="F622" s="24">
        <v>25</v>
      </c>
      <c r="G622" s="20">
        <f t="shared" si="130"/>
        <v>57224571900</v>
      </c>
      <c r="J622" t="s">
        <v>656</v>
      </c>
      <c r="K622" s="22" t="str">
        <f t="shared" si="124"/>
        <v>point</v>
      </c>
      <c r="M622" s="23">
        <f t="shared" si="129"/>
        <v>-2338.5833333333335</v>
      </c>
      <c r="N622" s="23">
        <f t="shared" si="116"/>
        <v>-3.3689528502171537</v>
      </c>
      <c r="O622" t="s">
        <v>464</v>
      </c>
      <c r="P622">
        <v>2</v>
      </c>
      <c r="Q622" t="s">
        <v>925</v>
      </c>
      <c r="S622" t="s">
        <v>934</v>
      </c>
    </row>
    <row r="623" spans="1:19" x14ac:dyDescent="0.4">
      <c r="A623" t="s">
        <v>1416</v>
      </c>
      <c r="B623" s="24">
        <v>1883</v>
      </c>
      <c r="C623" s="24">
        <v>5</v>
      </c>
      <c r="D623" s="24">
        <v>19</v>
      </c>
      <c r="G623" s="20">
        <f t="shared" si="130"/>
        <v>57224750400</v>
      </c>
      <c r="I623" s="20">
        <v>24</v>
      </c>
      <c r="J623" t="s">
        <v>656</v>
      </c>
      <c r="K623" s="22" t="str">
        <f t="shared" si="124"/>
        <v>middle</v>
      </c>
      <c r="M623" s="23">
        <f t="shared" si="129"/>
        <v>-2289</v>
      </c>
      <c r="N623" s="23">
        <f t="shared" ref="N623:N633" si="131">IF(M623=0,0, IF(M623&gt;0,LOG10(M623), -LOG10(-1*M623)))</f>
        <v>-3.3596457926745429</v>
      </c>
      <c r="O623" t="s">
        <v>462</v>
      </c>
      <c r="P623">
        <v>3</v>
      </c>
      <c r="Q623" t="s">
        <v>927</v>
      </c>
      <c r="S623" t="s">
        <v>934</v>
      </c>
    </row>
    <row r="624" spans="1:19" x14ac:dyDescent="0.4">
      <c r="A624" t="s">
        <v>1416</v>
      </c>
      <c r="B624" s="24">
        <v>1883</v>
      </c>
      <c r="C624" s="24">
        <v>5</v>
      </c>
      <c r="D624" s="24">
        <v>20</v>
      </c>
      <c r="E624" s="24">
        <v>6</v>
      </c>
      <c r="F624" s="24">
        <v>0</v>
      </c>
      <c r="G624" s="20">
        <f t="shared" si="130"/>
        <v>57224815200</v>
      </c>
      <c r="H624" s="20">
        <v>84</v>
      </c>
      <c r="J624" t="s">
        <v>656</v>
      </c>
      <c r="K624" s="22" t="str">
        <f t="shared" si="124"/>
        <v>span</v>
      </c>
      <c r="M624" s="23">
        <f t="shared" si="129"/>
        <v>-2271</v>
      </c>
      <c r="N624" s="23">
        <f t="shared" si="131"/>
        <v>-3.3562171342197353</v>
      </c>
      <c r="O624" t="s">
        <v>462</v>
      </c>
      <c r="P624">
        <v>5</v>
      </c>
      <c r="Q624" t="s">
        <v>929</v>
      </c>
      <c r="S624" t="s">
        <v>934</v>
      </c>
    </row>
    <row r="625" spans="1:19" x14ac:dyDescent="0.4">
      <c r="A625" t="s">
        <v>1416</v>
      </c>
      <c r="B625" s="24">
        <v>1883</v>
      </c>
      <c r="C625" s="24">
        <v>5</v>
      </c>
      <c r="D625" s="24">
        <v>20</v>
      </c>
      <c r="E625" s="24">
        <v>10</v>
      </c>
      <c r="F625" s="24">
        <v>30</v>
      </c>
      <c r="G625" s="20">
        <f t="shared" si="130"/>
        <v>57224831400</v>
      </c>
      <c r="J625" t="s">
        <v>656</v>
      </c>
      <c r="K625" s="22" t="str">
        <f t="shared" si="124"/>
        <v>point</v>
      </c>
      <c r="M625" s="23">
        <f t="shared" si="129"/>
        <v>-2266.5</v>
      </c>
      <c r="N625" s="23">
        <f t="shared" si="131"/>
        <v>-3.3553557233947067</v>
      </c>
      <c r="O625" t="s">
        <v>462</v>
      </c>
      <c r="P625">
        <v>6</v>
      </c>
      <c r="Q625" t="s">
        <v>928</v>
      </c>
      <c r="S625" t="s">
        <v>934</v>
      </c>
    </row>
    <row r="626" spans="1:19" x14ac:dyDescent="0.4">
      <c r="A626" t="s">
        <v>1416</v>
      </c>
      <c r="B626" s="24">
        <v>1883</v>
      </c>
      <c r="C626" s="24">
        <v>5</v>
      </c>
      <c r="D626" s="24">
        <v>23</v>
      </c>
      <c r="G626" s="20">
        <f t="shared" si="130"/>
        <v>57225096000</v>
      </c>
      <c r="H626" s="20">
        <f>80*24</f>
        <v>1920</v>
      </c>
      <c r="J626" t="s">
        <v>656</v>
      </c>
      <c r="K626" s="22" t="str">
        <f t="shared" si="124"/>
        <v>span</v>
      </c>
      <c r="M626" s="23">
        <f t="shared" si="129"/>
        <v>-2193</v>
      </c>
      <c r="N626" s="23">
        <f t="shared" si="131"/>
        <v>-3.3410386316775229</v>
      </c>
      <c r="O626" t="s">
        <v>462</v>
      </c>
      <c r="P626">
        <v>4</v>
      </c>
      <c r="Q626" t="s">
        <v>933</v>
      </c>
      <c r="S626" t="s">
        <v>934</v>
      </c>
    </row>
    <row r="627" spans="1:19" x14ac:dyDescent="0.4">
      <c r="A627" t="s">
        <v>1416</v>
      </c>
      <c r="B627" s="24">
        <v>1883</v>
      </c>
      <c r="C627" s="24">
        <v>5</v>
      </c>
      <c r="D627" s="24">
        <v>27</v>
      </c>
      <c r="G627" s="20">
        <f t="shared" si="130"/>
        <v>57225441600</v>
      </c>
      <c r="J627" t="s">
        <v>656</v>
      </c>
      <c r="K627" s="22" t="str">
        <f t="shared" si="124"/>
        <v>point</v>
      </c>
      <c r="M627" s="23">
        <f t="shared" si="129"/>
        <v>-2097</v>
      </c>
      <c r="N627" s="23">
        <f t="shared" si="131"/>
        <v>-3.3215984304653436</v>
      </c>
      <c r="O627" t="s">
        <v>462</v>
      </c>
      <c r="P627">
        <v>3</v>
      </c>
      <c r="Q627" t="s">
        <v>930</v>
      </c>
      <c r="S627" t="s">
        <v>934</v>
      </c>
    </row>
    <row r="628" spans="1:19" x14ac:dyDescent="0.4">
      <c r="A628" t="s">
        <v>1416</v>
      </c>
      <c r="B628" s="24">
        <v>1883</v>
      </c>
      <c r="C628" s="24">
        <v>5</v>
      </c>
      <c r="D628" s="24">
        <v>27</v>
      </c>
      <c r="E628" s="24">
        <v>4</v>
      </c>
      <c r="G628" s="20">
        <f t="shared" si="130"/>
        <v>57225412800</v>
      </c>
      <c r="J628" t="s">
        <v>656</v>
      </c>
      <c r="K628" s="22" t="str">
        <f t="shared" si="124"/>
        <v>point</v>
      </c>
      <c r="M628" s="23">
        <f t="shared" si="129"/>
        <v>-2105</v>
      </c>
      <c r="N628" s="23">
        <f t="shared" si="131"/>
        <v>-3.323252100171687</v>
      </c>
      <c r="O628" t="s">
        <v>464</v>
      </c>
      <c r="P628">
        <v>2</v>
      </c>
      <c r="Q628" t="s">
        <v>932</v>
      </c>
      <c r="S628" t="s">
        <v>934</v>
      </c>
    </row>
    <row r="629" spans="1:19" x14ac:dyDescent="0.4">
      <c r="A629" t="s">
        <v>1416</v>
      </c>
      <c r="B629" s="24">
        <v>1883</v>
      </c>
      <c r="C629" s="24">
        <v>6</v>
      </c>
      <c r="D629" s="24">
        <v>24</v>
      </c>
      <c r="G629" s="20">
        <f t="shared" si="130"/>
        <v>57227860800</v>
      </c>
      <c r="J629" t="s">
        <v>656</v>
      </c>
      <c r="K629" s="22" t="str">
        <f t="shared" si="124"/>
        <v>point</v>
      </c>
      <c r="M629" s="23">
        <f t="shared" si="129"/>
        <v>-1425</v>
      </c>
      <c r="N629" s="23">
        <f t="shared" si="131"/>
        <v>-3.153814864344529</v>
      </c>
      <c r="P629">
        <v>4</v>
      </c>
      <c r="Q629" t="s">
        <v>931</v>
      </c>
      <c r="S629" t="s">
        <v>934</v>
      </c>
    </row>
    <row r="630" spans="1:19" x14ac:dyDescent="0.4">
      <c r="A630" t="s">
        <v>1416</v>
      </c>
      <c r="B630" s="24">
        <v>1883</v>
      </c>
      <c r="C630" s="24">
        <v>7</v>
      </c>
      <c r="D630" s="24">
        <v>9</v>
      </c>
      <c r="G630" s="20">
        <f t="shared" si="130"/>
        <v>57229156800</v>
      </c>
      <c r="J630" t="s">
        <v>656</v>
      </c>
      <c r="K630" s="22" t="str">
        <f t="shared" si="124"/>
        <v>point</v>
      </c>
      <c r="M630" s="23">
        <f t="shared" si="129"/>
        <v>-1065</v>
      </c>
      <c r="N630" s="23">
        <f t="shared" si="131"/>
        <v>-3.0273496077747564</v>
      </c>
      <c r="O630" t="s">
        <v>462</v>
      </c>
      <c r="P630">
        <v>5</v>
      </c>
      <c r="Q630" t="s">
        <v>935</v>
      </c>
      <c r="S630" t="s">
        <v>934</v>
      </c>
    </row>
    <row r="631" spans="1:19" x14ac:dyDescent="0.4">
      <c r="A631" t="s">
        <v>1416</v>
      </c>
      <c r="B631" s="24">
        <v>1883</v>
      </c>
      <c r="C631" s="24">
        <v>8</v>
      </c>
      <c r="D631" s="24">
        <v>11</v>
      </c>
      <c r="G631" s="20">
        <f t="shared" si="130"/>
        <v>57232008000</v>
      </c>
      <c r="J631" t="s">
        <v>656</v>
      </c>
      <c r="K631" s="22" t="str">
        <f t="shared" si="124"/>
        <v>point</v>
      </c>
      <c r="M631" s="23">
        <f t="shared" si="129"/>
        <v>-273</v>
      </c>
      <c r="N631" s="23">
        <f t="shared" si="131"/>
        <v>-2.436162647040756</v>
      </c>
      <c r="O631" t="s">
        <v>462</v>
      </c>
      <c r="P631">
        <v>3</v>
      </c>
      <c r="Q631" t="s">
        <v>936</v>
      </c>
      <c r="S631" t="s">
        <v>934</v>
      </c>
    </row>
    <row r="632" spans="1:19" x14ac:dyDescent="0.4">
      <c r="A632" t="s">
        <v>1416</v>
      </c>
      <c r="B632" s="24">
        <v>1883</v>
      </c>
      <c r="C632" s="24">
        <v>8</v>
      </c>
      <c r="D632" s="24">
        <v>12</v>
      </c>
      <c r="G632" s="20">
        <f t="shared" si="130"/>
        <v>57232094400</v>
      </c>
      <c r="J632" t="s">
        <v>656</v>
      </c>
      <c r="K632" s="22" t="str">
        <f t="shared" si="124"/>
        <v>point</v>
      </c>
      <c r="M632" s="23">
        <f t="shared" si="129"/>
        <v>-249</v>
      </c>
      <c r="N632" s="23">
        <f t="shared" si="131"/>
        <v>-2.3961993470957363</v>
      </c>
      <c r="P632">
        <v>3</v>
      </c>
      <c r="Q632" t="s">
        <v>937</v>
      </c>
      <c r="S632" t="s">
        <v>934</v>
      </c>
    </row>
    <row r="633" spans="1:19" x14ac:dyDescent="0.4">
      <c r="A633" t="s">
        <v>1416</v>
      </c>
      <c r="B633" s="24">
        <v>1883</v>
      </c>
      <c r="C633" s="24">
        <v>8</v>
      </c>
      <c r="D633" s="24">
        <v>19</v>
      </c>
      <c r="G633" s="20">
        <f t="shared" si="130"/>
        <v>57232699200</v>
      </c>
      <c r="H633" s="20">
        <v>72</v>
      </c>
      <c r="J633" t="s">
        <v>656</v>
      </c>
      <c r="K633" s="22" t="str">
        <f t="shared" si="124"/>
        <v>span</v>
      </c>
      <c r="M633" s="23">
        <f t="shared" si="129"/>
        <v>-81</v>
      </c>
      <c r="N633" s="23">
        <f t="shared" si="131"/>
        <v>-1.9084850188786497</v>
      </c>
      <c r="P633">
        <v>0</v>
      </c>
      <c r="Q633" t="s">
        <v>866</v>
      </c>
      <c r="S633" t="s">
        <v>788</v>
      </c>
    </row>
    <row r="634" spans="1:19" x14ac:dyDescent="0.4">
      <c r="A634" t="s">
        <v>1416</v>
      </c>
      <c r="B634" s="24">
        <v>1883</v>
      </c>
      <c r="C634" s="24">
        <v>8</v>
      </c>
      <c r="D634" s="24">
        <v>22</v>
      </c>
      <c r="E634" s="24">
        <v>21</v>
      </c>
      <c r="F634" s="24">
        <v>0</v>
      </c>
      <c r="G634" s="20">
        <f t="shared" si="130"/>
        <v>57232990800</v>
      </c>
      <c r="H634" s="20">
        <v>9</v>
      </c>
      <c r="J634" t="s">
        <v>656</v>
      </c>
      <c r="K634" s="22" t="str">
        <f t="shared" si="124"/>
        <v>span</v>
      </c>
      <c r="L634" s="20" t="s">
        <v>865</v>
      </c>
      <c r="M634" s="23">
        <f>(G634-57232990800)/3600</f>
        <v>0</v>
      </c>
      <c r="N634" s="23">
        <f t="shared" ref="N634" si="132">IF(M634=0,0, IF(M634&gt;0,LOG10(M634), -LOG10(-1*M634)))</f>
        <v>0</v>
      </c>
      <c r="O634" t="s">
        <v>462</v>
      </c>
      <c r="P634">
        <v>5</v>
      </c>
      <c r="Q634" t="s">
        <v>938</v>
      </c>
      <c r="R634" t="s">
        <v>995</v>
      </c>
      <c r="S634" t="s">
        <v>934</v>
      </c>
    </row>
    <row r="635" spans="1:19" x14ac:dyDescent="0.4">
      <c r="A635" t="s">
        <v>1416</v>
      </c>
      <c r="B635" s="24">
        <v>1883</v>
      </c>
      <c r="C635" s="24">
        <v>8</v>
      </c>
      <c r="D635" s="24">
        <v>25</v>
      </c>
      <c r="E635" s="24">
        <v>19</v>
      </c>
      <c r="F635" s="24">
        <v>0</v>
      </c>
      <c r="G635" s="20">
        <f t="shared" si="130"/>
        <v>57233242800</v>
      </c>
      <c r="J635" t="s">
        <v>656</v>
      </c>
      <c r="K635" s="22" t="str">
        <f t="shared" si="124"/>
        <v>point</v>
      </c>
      <c r="M635" s="23">
        <f t="shared" ref="M635:M696" si="133">(G635-57232990800)/3600</f>
        <v>70</v>
      </c>
      <c r="N635" s="23">
        <f t="shared" ref="N635:N698" si="134">IF(M635=0,0, IF(M635&gt;0,LOG10(M635), -LOG10(-1*M635)))</f>
        <v>1.8450980400142569</v>
      </c>
      <c r="P635">
        <v>5</v>
      </c>
      <c r="Q635" t="s">
        <v>939</v>
      </c>
      <c r="S635" t="s">
        <v>934</v>
      </c>
    </row>
    <row r="636" spans="1:19" x14ac:dyDescent="0.4">
      <c r="A636" t="s">
        <v>1416</v>
      </c>
      <c r="B636" s="24">
        <v>1883</v>
      </c>
      <c r="C636" s="24">
        <v>8</v>
      </c>
      <c r="D636" s="24">
        <v>26</v>
      </c>
      <c r="E636" s="24">
        <v>10</v>
      </c>
      <c r="F636" s="24">
        <v>0</v>
      </c>
      <c r="G636" s="20">
        <f t="shared" si="130"/>
        <v>57233296800</v>
      </c>
      <c r="H636" s="20">
        <v>5</v>
      </c>
      <c r="J636" t="s">
        <v>656</v>
      </c>
      <c r="K636" s="22" t="str">
        <f t="shared" si="124"/>
        <v>span</v>
      </c>
      <c r="M636" s="23">
        <f t="shared" si="133"/>
        <v>85</v>
      </c>
      <c r="N636" s="23">
        <f t="shared" si="134"/>
        <v>1.9294189257142926</v>
      </c>
      <c r="P636">
        <v>4</v>
      </c>
      <c r="Q636" t="s">
        <v>940</v>
      </c>
      <c r="S636" t="s">
        <v>934</v>
      </c>
    </row>
    <row r="637" spans="1:19" x14ac:dyDescent="0.4">
      <c r="A637" t="s">
        <v>1416</v>
      </c>
      <c r="B637" s="24">
        <v>1883</v>
      </c>
      <c r="C637" s="24">
        <v>8</v>
      </c>
      <c r="D637" s="24">
        <v>26</v>
      </c>
      <c r="E637" s="24">
        <v>14</v>
      </c>
      <c r="F637" s="24">
        <v>0</v>
      </c>
      <c r="G637" s="20">
        <f t="shared" ref="G637:G718" si="135">(IF(C637="",DATE(B637,7,1),IF(D637="",DATE(B637,C637,16), IF(E637="",DATE(B637,C637,D637)+TIME(12,0,0), IF(F637="", DATE(B637,C637,D637)+TIME(E637,0,0),DATE(B637,C637,D637)+TIME(E637,F637,0))))) - 25569)*86400</f>
        <v>57233311200</v>
      </c>
      <c r="J637" t="s">
        <v>656</v>
      </c>
      <c r="K637" s="22" t="str">
        <f t="shared" si="124"/>
        <v>point</v>
      </c>
      <c r="M637" s="23">
        <f t="shared" si="133"/>
        <v>89</v>
      </c>
      <c r="N637" s="23">
        <f t="shared" si="134"/>
        <v>1.9493900066449128</v>
      </c>
      <c r="O637" t="s">
        <v>462</v>
      </c>
      <c r="P637">
        <v>6</v>
      </c>
      <c r="Q637" t="s">
        <v>941</v>
      </c>
      <c r="R637" t="s">
        <v>996</v>
      </c>
      <c r="S637" t="s">
        <v>934</v>
      </c>
    </row>
    <row r="638" spans="1:19" x14ac:dyDescent="0.4">
      <c r="A638" t="s">
        <v>1416</v>
      </c>
      <c r="B638" s="24">
        <v>1883</v>
      </c>
      <c r="C638" s="24">
        <v>8</v>
      </c>
      <c r="D638" s="24">
        <v>26</v>
      </c>
      <c r="E638" s="24">
        <v>14</v>
      </c>
      <c r="F638" s="24">
        <v>0</v>
      </c>
      <c r="G638" s="20">
        <f t="shared" si="135"/>
        <v>57233311200</v>
      </c>
      <c r="J638" t="s">
        <v>656</v>
      </c>
      <c r="K638" s="22" t="str">
        <f t="shared" si="124"/>
        <v>point</v>
      </c>
      <c r="M638" s="23">
        <f t="shared" si="133"/>
        <v>89</v>
      </c>
      <c r="N638" s="23">
        <f t="shared" si="134"/>
        <v>1.9493900066449128</v>
      </c>
      <c r="O638" t="s">
        <v>462</v>
      </c>
      <c r="P638">
        <v>6</v>
      </c>
      <c r="Q638" t="s">
        <v>942</v>
      </c>
      <c r="S638" t="s">
        <v>934</v>
      </c>
    </row>
    <row r="639" spans="1:19" x14ac:dyDescent="0.4">
      <c r="A639" t="s">
        <v>1416</v>
      </c>
      <c r="B639" s="24">
        <v>1883</v>
      </c>
      <c r="C639" s="24">
        <v>8</v>
      </c>
      <c r="D639" s="24">
        <v>26</v>
      </c>
      <c r="E639" s="24">
        <v>15</v>
      </c>
      <c r="F639" s="24">
        <v>34</v>
      </c>
      <c r="G639" s="20">
        <f t="shared" si="135"/>
        <v>57233316840</v>
      </c>
      <c r="J639" t="s">
        <v>656</v>
      </c>
      <c r="K639" s="22" t="str">
        <f t="shared" si="124"/>
        <v>point</v>
      </c>
      <c r="M639" s="23">
        <f t="shared" si="133"/>
        <v>90.566666666666663</v>
      </c>
      <c r="N639" s="23">
        <f t="shared" si="134"/>
        <v>1.9569683836982283</v>
      </c>
      <c r="O639" t="s">
        <v>462</v>
      </c>
      <c r="P639">
        <v>2</v>
      </c>
      <c r="Q639" t="s">
        <v>790</v>
      </c>
      <c r="S639" t="s">
        <v>788</v>
      </c>
    </row>
    <row r="640" spans="1:19" x14ac:dyDescent="0.4">
      <c r="A640" t="s">
        <v>1416</v>
      </c>
      <c r="B640" s="24">
        <v>1883</v>
      </c>
      <c r="C640" s="24">
        <v>8</v>
      </c>
      <c r="D640" s="24">
        <v>26</v>
      </c>
      <c r="E640" s="24">
        <v>15</v>
      </c>
      <c r="F640" s="24">
        <v>37</v>
      </c>
      <c r="G640" s="20">
        <f t="shared" si="135"/>
        <v>57233317020</v>
      </c>
      <c r="J640" t="s">
        <v>656</v>
      </c>
      <c r="K640" s="22" t="str">
        <f t="shared" si="124"/>
        <v>point</v>
      </c>
      <c r="M640" s="23">
        <f t="shared" si="133"/>
        <v>90.61666666666666</v>
      </c>
      <c r="N640" s="23">
        <f t="shared" si="134"/>
        <v>1.9572080826180671</v>
      </c>
      <c r="O640" t="s">
        <v>486</v>
      </c>
      <c r="P640">
        <v>2</v>
      </c>
      <c r="Q640" t="s">
        <v>791</v>
      </c>
      <c r="S640" t="s">
        <v>788</v>
      </c>
    </row>
    <row r="641" spans="1:19" x14ac:dyDescent="0.4">
      <c r="A641" t="s">
        <v>1416</v>
      </c>
      <c r="B641" s="24">
        <v>1883</v>
      </c>
      <c r="C641" s="24">
        <v>8</v>
      </c>
      <c r="D641" s="24">
        <v>27</v>
      </c>
      <c r="E641" s="24">
        <v>7</v>
      </c>
      <c r="F641" s="24">
        <v>0</v>
      </c>
      <c r="G641" s="20">
        <f t="shared" si="135"/>
        <v>57233372400</v>
      </c>
      <c r="J641" t="s">
        <v>656</v>
      </c>
      <c r="K641" s="22" t="str">
        <f t="shared" ref="K641:K730" si="136">IF(H641="",IF(I641="","point","middle"),"span")</f>
        <v>point</v>
      </c>
      <c r="M641" s="23">
        <f t="shared" si="133"/>
        <v>106</v>
      </c>
      <c r="N641" s="23">
        <f t="shared" si="134"/>
        <v>2.0253058652647704</v>
      </c>
      <c r="O641" t="s">
        <v>462</v>
      </c>
      <c r="P641">
        <v>7</v>
      </c>
      <c r="R641" t="s">
        <v>799</v>
      </c>
      <c r="S641" t="s">
        <v>788</v>
      </c>
    </row>
    <row r="642" spans="1:19" x14ac:dyDescent="0.4">
      <c r="A642" t="s">
        <v>1416</v>
      </c>
      <c r="B642" s="24">
        <v>1883</v>
      </c>
      <c r="C642" s="24">
        <v>8</v>
      </c>
      <c r="D642" s="24">
        <v>27</v>
      </c>
      <c r="E642" s="24">
        <v>9</v>
      </c>
      <c r="F642" s="24">
        <v>6</v>
      </c>
      <c r="G642" s="20">
        <f t="shared" si="135"/>
        <v>57233379960</v>
      </c>
      <c r="J642" t="s">
        <v>656</v>
      </c>
      <c r="K642" s="22" t="str">
        <f t="shared" si="136"/>
        <v>point</v>
      </c>
      <c r="M642" s="23">
        <f t="shared" si="133"/>
        <v>108.1</v>
      </c>
      <c r="N642" s="23">
        <f t="shared" si="134"/>
        <v>2.0338256939533101</v>
      </c>
      <c r="O642" t="s">
        <v>486</v>
      </c>
      <c r="P642">
        <v>2</v>
      </c>
      <c r="Q642" t="s">
        <v>792</v>
      </c>
      <c r="S642" t="s">
        <v>788</v>
      </c>
    </row>
    <row r="643" spans="1:19" x14ac:dyDescent="0.4">
      <c r="A643" t="s">
        <v>1416</v>
      </c>
      <c r="B643" s="24">
        <v>1883</v>
      </c>
      <c r="C643" s="24">
        <v>8</v>
      </c>
      <c r="D643" s="24">
        <v>27</v>
      </c>
      <c r="E643" s="24">
        <v>9</v>
      </c>
      <c r="F643" s="24">
        <v>58</v>
      </c>
      <c r="G643" s="20">
        <f t="shared" si="135"/>
        <v>57233383080</v>
      </c>
      <c r="J643" t="s">
        <v>656</v>
      </c>
      <c r="K643" s="22" t="str">
        <f t="shared" si="136"/>
        <v>point</v>
      </c>
      <c r="L643" s="20" t="s">
        <v>787</v>
      </c>
      <c r="M643" s="23">
        <f t="shared" si="133"/>
        <v>108.96666666666667</v>
      </c>
      <c r="N643" s="23">
        <f t="shared" si="134"/>
        <v>2.0372936658607066</v>
      </c>
      <c r="O643" t="s">
        <v>462</v>
      </c>
      <c r="P643">
        <v>4</v>
      </c>
      <c r="Q643" t="s">
        <v>793</v>
      </c>
      <c r="S643" t="s">
        <v>788</v>
      </c>
    </row>
    <row r="644" spans="1:19" x14ac:dyDescent="0.4">
      <c r="A644" t="s">
        <v>1416</v>
      </c>
      <c r="B644" s="24">
        <v>1883</v>
      </c>
      <c r="C644" s="24">
        <v>8</v>
      </c>
      <c r="D644" s="24">
        <v>27</v>
      </c>
      <c r="E644" s="24">
        <v>13</v>
      </c>
      <c r="F644" s="24">
        <v>0</v>
      </c>
      <c r="G644" s="20">
        <f t="shared" si="135"/>
        <v>57233394000</v>
      </c>
      <c r="H644" s="20">
        <v>1</v>
      </c>
      <c r="J644" t="s">
        <v>656</v>
      </c>
      <c r="K644" s="22" t="str">
        <f t="shared" si="136"/>
        <v>span</v>
      </c>
      <c r="M644" s="23">
        <f t="shared" si="133"/>
        <v>112</v>
      </c>
      <c r="N644" s="23">
        <f t="shared" si="134"/>
        <v>2.0492180226701815</v>
      </c>
      <c r="O644" t="s">
        <v>462</v>
      </c>
      <c r="P644">
        <v>4</v>
      </c>
      <c r="Q644" t="s">
        <v>798</v>
      </c>
      <c r="R644" t="s">
        <v>794</v>
      </c>
      <c r="S644" t="s">
        <v>788</v>
      </c>
    </row>
    <row r="645" spans="1:19" x14ac:dyDescent="0.4">
      <c r="A645" t="s">
        <v>1416</v>
      </c>
      <c r="B645" s="24">
        <v>1883</v>
      </c>
      <c r="C645" s="24">
        <v>8</v>
      </c>
      <c r="D645" s="24">
        <v>27</v>
      </c>
      <c r="E645" s="24">
        <v>14</v>
      </c>
      <c r="F645" s="24">
        <v>30</v>
      </c>
      <c r="G645" s="20">
        <f t="shared" si="135"/>
        <v>57233399400</v>
      </c>
      <c r="J645" t="s">
        <v>656</v>
      </c>
      <c r="K645" s="22" t="str">
        <f t="shared" si="136"/>
        <v>point</v>
      </c>
      <c r="M645" s="23">
        <f t="shared" si="133"/>
        <v>113.5</v>
      </c>
      <c r="N645" s="23">
        <f t="shared" si="134"/>
        <v>2.0549958615291417</v>
      </c>
      <c r="O645" t="s">
        <v>462</v>
      </c>
      <c r="P645">
        <v>3</v>
      </c>
      <c r="Q645" t="s">
        <v>795</v>
      </c>
      <c r="S645" t="s">
        <v>788</v>
      </c>
    </row>
    <row r="646" spans="1:19" x14ac:dyDescent="0.4">
      <c r="A646" t="s">
        <v>1416</v>
      </c>
      <c r="B646" s="24">
        <v>1883</v>
      </c>
      <c r="C646" s="24">
        <v>8</v>
      </c>
      <c r="D646" s="24">
        <v>28</v>
      </c>
      <c r="E646" s="24">
        <v>1</v>
      </c>
      <c r="F646" s="24">
        <v>30</v>
      </c>
      <c r="G646" s="20">
        <f t="shared" si="135"/>
        <v>57233439000</v>
      </c>
      <c r="J646" t="s">
        <v>656</v>
      </c>
      <c r="K646" s="22" t="str">
        <f t="shared" si="136"/>
        <v>point</v>
      </c>
      <c r="L646" s="20" t="s">
        <v>797</v>
      </c>
      <c r="M646" s="23">
        <f t="shared" si="133"/>
        <v>124.5</v>
      </c>
      <c r="N646" s="23">
        <f t="shared" si="134"/>
        <v>2.0951693514317551</v>
      </c>
      <c r="O646" t="s">
        <v>462</v>
      </c>
      <c r="P646">
        <v>2</v>
      </c>
      <c r="Q646" t="s">
        <v>943</v>
      </c>
      <c r="S646" t="s">
        <v>788</v>
      </c>
    </row>
    <row r="647" spans="1:19" x14ac:dyDescent="0.4">
      <c r="A647" t="s">
        <v>1416</v>
      </c>
      <c r="B647" s="24">
        <v>1883</v>
      </c>
      <c r="C647" s="24">
        <v>8</v>
      </c>
      <c r="D647" s="24">
        <v>28</v>
      </c>
      <c r="E647" s="24">
        <v>12</v>
      </c>
      <c r="F647" s="24">
        <v>0</v>
      </c>
      <c r="G647" s="20">
        <f t="shared" si="135"/>
        <v>57233476800</v>
      </c>
      <c r="J647" t="s">
        <v>656</v>
      </c>
      <c r="K647" s="22" t="str">
        <f t="shared" ref="K647" si="137">IF(H647="",IF(I647="","point","middle"),"span")</f>
        <v>point</v>
      </c>
      <c r="M647" s="23">
        <f t="shared" si="133"/>
        <v>135</v>
      </c>
      <c r="N647" s="23">
        <f t="shared" si="134"/>
        <v>2.1303337684950061</v>
      </c>
      <c r="O647" t="s">
        <v>462</v>
      </c>
      <c r="P647">
        <v>0</v>
      </c>
      <c r="Q647" t="s">
        <v>944</v>
      </c>
      <c r="S647" t="s">
        <v>934</v>
      </c>
    </row>
    <row r="648" spans="1:19" x14ac:dyDescent="0.4">
      <c r="A648" t="s">
        <v>1416</v>
      </c>
      <c r="B648" s="24">
        <v>1883</v>
      </c>
      <c r="C648" s="24">
        <v>8</v>
      </c>
      <c r="D648" s="24">
        <v>28</v>
      </c>
      <c r="E648" s="24">
        <v>1</v>
      </c>
      <c r="G648" s="20">
        <f t="shared" si="135"/>
        <v>57233437200</v>
      </c>
      <c r="H648" s="20">
        <f>31*24</f>
        <v>744</v>
      </c>
      <c r="J648" t="s">
        <v>656</v>
      </c>
      <c r="K648" s="22" t="str">
        <f t="shared" si="136"/>
        <v>span</v>
      </c>
      <c r="M648" s="23">
        <f t="shared" si="133"/>
        <v>124</v>
      </c>
      <c r="N648" s="23">
        <f t="shared" si="134"/>
        <v>2.0934216851622351</v>
      </c>
      <c r="O648" t="s">
        <v>464</v>
      </c>
      <c r="P648">
        <v>2</v>
      </c>
      <c r="Q648" t="s">
        <v>796</v>
      </c>
      <c r="S648" t="s">
        <v>788</v>
      </c>
    </row>
    <row r="649" spans="1:19" x14ac:dyDescent="0.4">
      <c r="A649" t="s">
        <v>1416</v>
      </c>
      <c r="B649" s="24">
        <v>1883</v>
      </c>
      <c r="C649" s="24">
        <v>8</v>
      </c>
      <c r="D649" s="24">
        <v>29</v>
      </c>
      <c r="E649" s="24">
        <v>15</v>
      </c>
      <c r="G649" s="20">
        <f t="shared" si="135"/>
        <v>57233574000</v>
      </c>
      <c r="J649" t="s">
        <v>656</v>
      </c>
      <c r="K649" s="22" t="str">
        <f t="shared" ref="K649:K696" si="138">IF(H649="",IF(I649="","point","middle"),"span")</f>
        <v>point</v>
      </c>
      <c r="M649" s="23">
        <f t="shared" si="133"/>
        <v>162</v>
      </c>
      <c r="N649" s="23">
        <f t="shared" si="134"/>
        <v>2.2095150145426308</v>
      </c>
      <c r="O649" t="s">
        <v>462</v>
      </c>
      <c r="P649">
        <v>0</v>
      </c>
      <c r="Q649" t="s">
        <v>946</v>
      </c>
      <c r="S649" t="s">
        <v>934</v>
      </c>
    </row>
    <row r="650" spans="1:19" x14ac:dyDescent="0.4">
      <c r="A650" t="s">
        <v>1416</v>
      </c>
      <c r="B650" s="24">
        <v>1883</v>
      </c>
      <c r="C650" s="24">
        <v>8</v>
      </c>
      <c r="D650" s="24">
        <v>30</v>
      </c>
      <c r="E650" s="24">
        <v>12</v>
      </c>
      <c r="G650" s="20">
        <f t="shared" si="135"/>
        <v>57233649600</v>
      </c>
      <c r="J650" t="s">
        <v>656</v>
      </c>
      <c r="K650" s="22" t="str">
        <f t="shared" si="138"/>
        <v>point</v>
      </c>
      <c r="M650" s="23">
        <f t="shared" si="133"/>
        <v>183</v>
      </c>
      <c r="N650" s="23">
        <f t="shared" si="134"/>
        <v>2.2624510897304293</v>
      </c>
      <c r="O650" t="s">
        <v>462</v>
      </c>
      <c r="P650">
        <v>0</v>
      </c>
      <c r="Q650" t="s">
        <v>945</v>
      </c>
      <c r="S650" t="s">
        <v>934</v>
      </c>
    </row>
    <row r="651" spans="1:19" x14ac:dyDescent="0.4">
      <c r="A651" t="s">
        <v>1416</v>
      </c>
      <c r="B651" s="24">
        <v>1883</v>
      </c>
      <c r="G651" s="20">
        <f t="shared" si="135"/>
        <v>57228422400</v>
      </c>
      <c r="I651" s="20">
        <f>36*365*24</f>
        <v>315360</v>
      </c>
      <c r="J651" t="s">
        <v>656</v>
      </c>
      <c r="K651" s="22" t="str">
        <f t="shared" si="138"/>
        <v>middle</v>
      </c>
      <c r="M651" s="23">
        <f t="shared" si="133"/>
        <v>-1269</v>
      </c>
      <c r="N651" s="23">
        <f t="shared" si="134"/>
        <v>-3.1034616220947049</v>
      </c>
      <c r="O651" t="s">
        <v>462</v>
      </c>
      <c r="P651">
        <v>3</v>
      </c>
      <c r="Q651" t="s">
        <v>948</v>
      </c>
      <c r="S651" t="s">
        <v>934</v>
      </c>
    </row>
    <row r="652" spans="1:19" x14ac:dyDescent="0.4">
      <c r="A652" t="s">
        <v>1416</v>
      </c>
      <c r="B652" s="24">
        <v>1927</v>
      </c>
      <c r="C652" s="24">
        <v>6</v>
      </c>
      <c r="D652" s="24">
        <v>29</v>
      </c>
      <c r="G652" s="20">
        <f t="shared" si="135"/>
        <v>-1341489600</v>
      </c>
      <c r="J652" t="s">
        <v>656</v>
      </c>
      <c r="K652" s="22" t="str">
        <f t="shared" si="138"/>
        <v>point</v>
      </c>
      <c r="M652" s="23">
        <f t="shared" si="133"/>
        <v>-16270689</v>
      </c>
      <c r="N652" s="23">
        <f t="shared" si="134"/>
        <v>-7.2114059439978515</v>
      </c>
      <c r="O652" t="s">
        <v>462</v>
      </c>
      <c r="P652">
        <v>3</v>
      </c>
      <c r="Q652" t="s">
        <v>947</v>
      </c>
      <c r="S652" t="s">
        <v>934</v>
      </c>
    </row>
    <row r="653" spans="1:19" x14ac:dyDescent="0.4">
      <c r="A653" t="s">
        <v>1416</v>
      </c>
      <c r="B653" s="24">
        <v>1927</v>
      </c>
      <c r="C653" s="24">
        <v>12</v>
      </c>
      <c r="D653" s="24">
        <v>29</v>
      </c>
      <c r="G653" s="20">
        <f t="shared" si="135"/>
        <v>-1325678400</v>
      </c>
      <c r="H653" s="20">
        <v>23040</v>
      </c>
      <c r="J653" t="s">
        <v>656</v>
      </c>
      <c r="K653" s="22" t="str">
        <f t="shared" si="138"/>
        <v>span</v>
      </c>
      <c r="M653" s="23">
        <f t="shared" si="133"/>
        <v>-16266297</v>
      </c>
      <c r="N653" s="23">
        <f t="shared" si="134"/>
        <v>-7.2112886976508115</v>
      </c>
      <c r="O653" t="s">
        <v>462</v>
      </c>
      <c r="P653">
        <v>4</v>
      </c>
      <c r="Q653" t="s">
        <v>949</v>
      </c>
      <c r="S653" t="s">
        <v>934</v>
      </c>
    </row>
    <row r="654" spans="1:19" x14ac:dyDescent="0.4">
      <c r="A654" t="s">
        <v>1416</v>
      </c>
      <c r="B654" s="24">
        <v>1931</v>
      </c>
      <c r="C654" s="24">
        <v>9</v>
      </c>
      <c r="D654" s="24">
        <v>23</v>
      </c>
      <c r="G654" s="20">
        <f t="shared" si="135"/>
        <v>-1207828800</v>
      </c>
      <c r="H654" s="20">
        <v>3528</v>
      </c>
      <c r="J654" t="s">
        <v>656</v>
      </c>
      <c r="K654" s="22" t="str">
        <f t="shared" si="138"/>
        <v>span</v>
      </c>
      <c r="M654" s="23">
        <f t="shared" si="133"/>
        <v>-16233561</v>
      </c>
      <c r="N654" s="23">
        <f t="shared" si="134"/>
        <v>-7.2104137972763098</v>
      </c>
      <c r="O654" t="s">
        <v>462</v>
      </c>
      <c r="P654">
        <v>4</v>
      </c>
      <c r="S654" t="s">
        <v>867</v>
      </c>
    </row>
    <row r="655" spans="1:19" x14ac:dyDescent="0.4">
      <c r="A655" t="s">
        <v>1416</v>
      </c>
      <c r="B655" s="24">
        <v>1932</v>
      </c>
      <c r="C655" s="24">
        <v>11</v>
      </c>
      <c r="D655" s="24">
        <v>14</v>
      </c>
      <c r="G655" s="20">
        <f t="shared" si="135"/>
        <v>-1171713600</v>
      </c>
      <c r="H655" s="20">
        <v>13728</v>
      </c>
      <c r="J655" t="s">
        <v>656</v>
      </c>
      <c r="K655" s="22" t="str">
        <f t="shared" si="138"/>
        <v>span</v>
      </c>
      <c r="M655" s="23">
        <f t="shared" si="133"/>
        <v>-16223529</v>
      </c>
      <c r="N655" s="23">
        <f t="shared" si="134"/>
        <v>-7.2101453294388547</v>
      </c>
      <c r="O655" t="s">
        <v>462</v>
      </c>
      <c r="P655">
        <v>4</v>
      </c>
      <c r="S655" t="s">
        <v>867</v>
      </c>
    </row>
    <row r="656" spans="1:19" x14ac:dyDescent="0.4">
      <c r="A656" t="s">
        <v>1416</v>
      </c>
      <c r="B656" s="24">
        <v>1935</v>
      </c>
      <c r="C656" s="24">
        <v>1</v>
      </c>
      <c r="D656" s="24">
        <v>4</v>
      </c>
      <c r="G656" s="20">
        <f t="shared" si="135"/>
        <v>-1104235200</v>
      </c>
      <c r="H656" s="20">
        <v>4536</v>
      </c>
      <c r="J656" t="s">
        <v>656</v>
      </c>
      <c r="K656" s="22" t="str">
        <f t="shared" si="138"/>
        <v>span</v>
      </c>
      <c r="M656" s="23">
        <f t="shared" si="133"/>
        <v>-16204785</v>
      </c>
      <c r="N656" s="23">
        <f t="shared" si="134"/>
        <v>-7.2096432733236107</v>
      </c>
      <c r="O656" t="s">
        <v>462</v>
      </c>
      <c r="P656">
        <v>4</v>
      </c>
      <c r="S656" t="s">
        <v>867</v>
      </c>
    </row>
    <row r="657" spans="1:19" x14ac:dyDescent="0.4">
      <c r="A657" t="s">
        <v>1416</v>
      </c>
      <c r="B657" s="24">
        <v>1936</v>
      </c>
      <c r="C657" s="24">
        <v>10</v>
      </c>
      <c r="D657" s="24">
        <v>13</v>
      </c>
      <c r="G657" s="20">
        <f t="shared" si="135"/>
        <v>-1048248000</v>
      </c>
      <c r="H657" s="20">
        <v>0</v>
      </c>
      <c r="J657" t="s">
        <v>656</v>
      </c>
      <c r="K657" s="22" t="str">
        <f t="shared" si="138"/>
        <v>span</v>
      </c>
      <c r="M657" s="23">
        <f t="shared" si="133"/>
        <v>-16189233</v>
      </c>
      <c r="N657" s="23">
        <f t="shared" si="134"/>
        <v>-7.209226273598448</v>
      </c>
      <c r="O657" t="s">
        <v>462</v>
      </c>
      <c r="P657">
        <v>4</v>
      </c>
      <c r="S657" t="s">
        <v>867</v>
      </c>
    </row>
    <row r="658" spans="1:19" x14ac:dyDescent="0.4">
      <c r="A658" t="s">
        <v>1416</v>
      </c>
      <c r="B658" s="24">
        <v>1937</v>
      </c>
      <c r="C658" s="24">
        <v>8</v>
      </c>
      <c r="D658" s="24">
        <v>6</v>
      </c>
      <c r="G658" s="20">
        <f t="shared" si="135"/>
        <v>-1022587200</v>
      </c>
      <c r="H658" s="20">
        <v>2616</v>
      </c>
      <c r="J658" t="s">
        <v>656</v>
      </c>
      <c r="K658" s="22" t="str">
        <f t="shared" si="138"/>
        <v>span</v>
      </c>
      <c r="M658" s="23">
        <f t="shared" si="133"/>
        <v>-16182105</v>
      </c>
      <c r="N658" s="23">
        <f t="shared" si="134"/>
        <v>-7.2090350148301487</v>
      </c>
      <c r="O658" t="s">
        <v>462</v>
      </c>
      <c r="P658">
        <v>4</v>
      </c>
      <c r="S658" t="s">
        <v>867</v>
      </c>
    </row>
    <row r="659" spans="1:19" x14ac:dyDescent="0.4">
      <c r="A659" t="s">
        <v>1416</v>
      </c>
      <c r="B659" s="24">
        <v>1938</v>
      </c>
      <c r="C659" s="24">
        <v>7</v>
      </c>
      <c r="D659" s="24">
        <v>4</v>
      </c>
      <c r="G659" s="20">
        <f t="shared" si="135"/>
        <v>-993902400</v>
      </c>
      <c r="H659" s="20">
        <v>17496</v>
      </c>
      <c r="J659" t="s">
        <v>656</v>
      </c>
      <c r="K659" s="22" t="str">
        <f t="shared" si="138"/>
        <v>span</v>
      </c>
      <c r="M659" s="23">
        <f t="shared" si="133"/>
        <v>-16174137</v>
      </c>
      <c r="N659" s="23">
        <f t="shared" si="134"/>
        <v>-7.2088211174002952</v>
      </c>
      <c r="O659" t="s">
        <v>462</v>
      </c>
      <c r="P659">
        <v>4</v>
      </c>
      <c r="S659" t="s">
        <v>867</v>
      </c>
    </row>
    <row r="660" spans="1:19" x14ac:dyDescent="0.4">
      <c r="A660" t="s">
        <v>1416</v>
      </c>
      <c r="B660" s="24">
        <v>1941</v>
      </c>
      <c r="C660" s="24">
        <v>1</v>
      </c>
      <c r="D660" s="24">
        <v>28</v>
      </c>
      <c r="G660" s="20">
        <f t="shared" si="135"/>
        <v>-912772800</v>
      </c>
      <c r="H660" s="20">
        <v>360</v>
      </c>
      <c r="J660" t="s">
        <v>656</v>
      </c>
      <c r="K660" s="22" t="str">
        <f t="shared" si="138"/>
        <v>span</v>
      </c>
      <c r="M660" s="23">
        <f t="shared" si="133"/>
        <v>-16151601</v>
      </c>
      <c r="N660" s="23">
        <f t="shared" si="134"/>
        <v>-7.2082155775032764</v>
      </c>
      <c r="O660" t="s">
        <v>462</v>
      </c>
      <c r="P660">
        <v>4</v>
      </c>
      <c r="S660" t="s">
        <v>867</v>
      </c>
    </row>
    <row r="661" spans="1:19" x14ac:dyDescent="0.4">
      <c r="A661" t="s">
        <v>1416</v>
      </c>
      <c r="B661" s="24">
        <v>1942</v>
      </c>
      <c r="C661" s="24">
        <v>1</v>
      </c>
      <c r="D661" s="24">
        <v>29</v>
      </c>
      <c r="G661" s="20">
        <f t="shared" si="135"/>
        <v>-881150400</v>
      </c>
      <c r="H661" s="20">
        <v>24</v>
      </c>
      <c r="J661" t="s">
        <v>656</v>
      </c>
      <c r="K661" s="22" t="str">
        <f t="shared" si="138"/>
        <v>span</v>
      </c>
      <c r="M661" s="23">
        <f t="shared" si="133"/>
        <v>-16142817</v>
      </c>
      <c r="N661" s="23">
        <f t="shared" si="134"/>
        <v>-7.2079793234965868</v>
      </c>
      <c r="O661" t="s">
        <v>462</v>
      </c>
      <c r="P661">
        <v>4</v>
      </c>
      <c r="S661" t="s">
        <v>867</v>
      </c>
    </row>
    <row r="662" spans="1:19" x14ac:dyDescent="0.4">
      <c r="A662" t="s">
        <v>1416</v>
      </c>
      <c r="B662" s="24">
        <v>1943</v>
      </c>
      <c r="G662" s="20">
        <f t="shared" si="135"/>
        <v>-836438400</v>
      </c>
      <c r="J662" t="s">
        <v>656</v>
      </c>
      <c r="K662" s="22" t="str">
        <f t="shared" si="138"/>
        <v>point</v>
      </c>
      <c r="M662" s="23">
        <f t="shared" si="133"/>
        <v>-16130397</v>
      </c>
      <c r="N662" s="23">
        <f t="shared" si="134"/>
        <v>-7.2076450563404535</v>
      </c>
      <c r="O662" t="s">
        <v>462</v>
      </c>
      <c r="P662">
        <v>4</v>
      </c>
      <c r="Q662" t="s">
        <v>950</v>
      </c>
      <c r="S662" t="s">
        <v>867</v>
      </c>
    </row>
    <row r="663" spans="1:19" x14ac:dyDescent="0.4">
      <c r="A663" t="s">
        <v>1416</v>
      </c>
      <c r="B663" s="24">
        <v>1944</v>
      </c>
      <c r="G663" s="20">
        <f t="shared" si="135"/>
        <v>-804816000</v>
      </c>
      <c r="J663" t="s">
        <v>656</v>
      </c>
      <c r="K663" s="22" t="str">
        <f t="shared" si="138"/>
        <v>point</v>
      </c>
      <c r="M663" s="23">
        <f t="shared" si="133"/>
        <v>-16121613</v>
      </c>
      <c r="N663" s="23">
        <f t="shared" si="134"/>
        <v>-7.2074084916845846</v>
      </c>
      <c r="O663" t="s">
        <v>462</v>
      </c>
      <c r="P663">
        <v>4</v>
      </c>
      <c r="Q663" t="s">
        <v>950</v>
      </c>
      <c r="S663" t="s">
        <v>867</v>
      </c>
    </row>
    <row r="664" spans="1:19" x14ac:dyDescent="0.4">
      <c r="A664" t="s">
        <v>1416</v>
      </c>
      <c r="B664" s="24">
        <v>1945</v>
      </c>
      <c r="G664" s="20">
        <f t="shared" si="135"/>
        <v>-773280000</v>
      </c>
      <c r="J664" t="s">
        <v>656</v>
      </c>
      <c r="K664" s="22" t="str">
        <f t="shared" si="138"/>
        <v>point</v>
      </c>
      <c r="M664" s="23">
        <f t="shared" si="133"/>
        <v>-16112853</v>
      </c>
      <c r="N664" s="23">
        <f t="shared" si="134"/>
        <v>-7.2071724449788555</v>
      </c>
      <c r="O664" t="s">
        <v>462</v>
      </c>
      <c r="P664">
        <v>4</v>
      </c>
      <c r="Q664" t="s">
        <v>950</v>
      </c>
      <c r="S664" t="s">
        <v>867</v>
      </c>
    </row>
    <row r="665" spans="1:19" x14ac:dyDescent="0.4">
      <c r="A665" t="s">
        <v>1416</v>
      </c>
      <c r="B665" s="24">
        <v>1946</v>
      </c>
      <c r="C665" s="24">
        <v>7</v>
      </c>
      <c r="D665" s="24">
        <v>25</v>
      </c>
      <c r="G665" s="20">
        <f t="shared" si="135"/>
        <v>-739627200</v>
      </c>
      <c r="J665" t="s">
        <v>656</v>
      </c>
      <c r="K665" s="22" t="str">
        <f t="shared" si="138"/>
        <v>point</v>
      </c>
      <c r="M665" s="23">
        <f t="shared" si="133"/>
        <v>-16103505</v>
      </c>
      <c r="N665" s="23">
        <f t="shared" si="134"/>
        <v>-7.2069204124597999</v>
      </c>
      <c r="O665" t="s">
        <v>462</v>
      </c>
      <c r="P665">
        <v>4</v>
      </c>
      <c r="S665" t="s">
        <v>867</v>
      </c>
    </row>
    <row r="666" spans="1:19" x14ac:dyDescent="0.4">
      <c r="A666" t="s">
        <v>1416</v>
      </c>
      <c r="B666" s="24">
        <v>1946</v>
      </c>
      <c r="C666" s="24">
        <v>12</v>
      </c>
      <c r="D666" s="24">
        <v>26</v>
      </c>
      <c r="G666" s="20">
        <f t="shared" si="135"/>
        <v>-726321600</v>
      </c>
      <c r="H666" s="20">
        <v>5376</v>
      </c>
      <c r="J666" t="s">
        <v>656</v>
      </c>
      <c r="K666" s="22" t="str">
        <f t="shared" si="138"/>
        <v>span</v>
      </c>
      <c r="M666" s="23">
        <f t="shared" si="133"/>
        <v>-16099809</v>
      </c>
      <c r="N666" s="23">
        <f t="shared" si="134"/>
        <v>-7.2068207238120934</v>
      </c>
      <c r="O666" t="s">
        <v>462</v>
      </c>
      <c r="P666">
        <v>4</v>
      </c>
      <c r="S666" t="s">
        <v>867</v>
      </c>
    </row>
    <row r="667" spans="1:19" x14ac:dyDescent="0.4">
      <c r="A667" t="s">
        <v>1416</v>
      </c>
      <c r="B667" s="24">
        <v>1949</v>
      </c>
      <c r="C667" s="24">
        <v>5</v>
      </c>
      <c r="D667" s="24">
        <v>12</v>
      </c>
      <c r="G667" s="20">
        <f t="shared" si="135"/>
        <v>-651326400</v>
      </c>
      <c r="J667" t="s">
        <v>656</v>
      </c>
      <c r="K667" s="22" t="str">
        <f t="shared" si="138"/>
        <v>point</v>
      </c>
      <c r="M667" s="23">
        <f t="shared" si="133"/>
        <v>-16078977</v>
      </c>
      <c r="N667" s="23">
        <f t="shared" si="134"/>
        <v>-7.2062584139778485</v>
      </c>
      <c r="O667" t="s">
        <v>462</v>
      </c>
      <c r="P667">
        <v>4</v>
      </c>
      <c r="S667" t="s">
        <v>867</v>
      </c>
    </row>
    <row r="668" spans="1:19" x14ac:dyDescent="0.4">
      <c r="A668" t="s">
        <v>1416</v>
      </c>
      <c r="B668" s="24">
        <v>1950</v>
      </c>
      <c r="C668" s="24">
        <v>7</v>
      </c>
      <c r="D668" s="24">
        <v>3</v>
      </c>
      <c r="G668" s="20">
        <f t="shared" si="135"/>
        <v>-615297600</v>
      </c>
      <c r="H668" s="20">
        <v>96</v>
      </c>
      <c r="J668" t="s">
        <v>656</v>
      </c>
      <c r="K668" s="22" t="str">
        <f t="shared" si="138"/>
        <v>span</v>
      </c>
      <c r="M668" s="23">
        <f t="shared" si="133"/>
        <v>-16068969</v>
      </c>
      <c r="N668" s="23">
        <f t="shared" si="134"/>
        <v>-7.2059880129192369</v>
      </c>
      <c r="O668" t="s">
        <v>462</v>
      </c>
      <c r="P668">
        <v>4</v>
      </c>
      <c r="S668" t="s">
        <v>867</v>
      </c>
    </row>
    <row r="669" spans="1:19" x14ac:dyDescent="0.4">
      <c r="A669" t="s">
        <v>1416</v>
      </c>
      <c r="B669" s="24">
        <v>1952</v>
      </c>
      <c r="C669" s="24">
        <v>10</v>
      </c>
      <c r="D669" s="24">
        <v>10</v>
      </c>
      <c r="G669" s="20">
        <f t="shared" si="135"/>
        <v>-543585600</v>
      </c>
      <c r="H669" s="20">
        <v>24</v>
      </c>
      <c r="J669" t="s">
        <v>656</v>
      </c>
      <c r="K669" s="22" t="str">
        <f t="shared" si="138"/>
        <v>span</v>
      </c>
      <c r="M669" s="23">
        <f t="shared" si="133"/>
        <v>-16049049</v>
      </c>
      <c r="N669" s="23">
        <f t="shared" si="134"/>
        <v>-7.2054493030157323</v>
      </c>
      <c r="O669" t="s">
        <v>462</v>
      </c>
      <c r="P669">
        <v>4</v>
      </c>
      <c r="S669" t="s">
        <v>867</v>
      </c>
    </row>
    <row r="670" spans="1:19" x14ac:dyDescent="0.4">
      <c r="A670" t="s">
        <v>1416</v>
      </c>
      <c r="B670" s="24">
        <v>1953</v>
      </c>
      <c r="C670" s="24">
        <v>3</v>
      </c>
      <c r="D670" s="24">
        <v>17</v>
      </c>
      <c r="G670" s="20">
        <f t="shared" si="135"/>
        <v>-529934400</v>
      </c>
      <c r="H670" s="20">
        <v>1080</v>
      </c>
      <c r="J670" t="s">
        <v>656</v>
      </c>
      <c r="K670" s="22" t="str">
        <f t="shared" si="138"/>
        <v>span</v>
      </c>
      <c r="M670" s="23">
        <f t="shared" si="133"/>
        <v>-16045257</v>
      </c>
      <c r="N670" s="23">
        <f t="shared" si="134"/>
        <v>-7.2053466776663608</v>
      </c>
      <c r="O670" t="s">
        <v>462</v>
      </c>
      <c r="P670">
        <v>4</v>
      </c>
      <c r="S670" t="s">
        <v>867</v>
      </c>
    </row>
    <row r="671" spans="1:19" x14ac:dyDescent="0.4">
      <c r="A671" t="s">
        <v>1416</v>
      </c>
      <c r="B671" s="24">
        <v>1953</v>
      </c>
      <c r="C671" s="24">
        <v>9</v>
      </c>
      <c r="D671" s="24">
        <v>21</v>
      </c>
      <c r="G671" s="20">
        <f t="shared" si="135"/>
        <v>-513691200</v>
      </c>
      <c r="H671" s="20">
        <v>1560</v>
      </c>
      <c r="J671" t="s">
        <v>656</v>
      </c>
      <c r="K671" s="22" t="str">
        <f t="shared" si="138"/>
        <v>span</v>
      </c>
      <c r="M671" s="23">
        <f t="shared" si="133"/>
        <v>-16040745</v>
      </c>
      <c r="N671" s="23">
        <f t="shared" si="134"/>
        <v>-7.205224534888008</v>
      </c>
      <c r="O671" t="s">
        <v>462</v>
      </c>
      <c r="P671">
        <v>4</v>
      </c>
      <c r="S671" t="s">
        <v>867</v>
      </c>
    </row>
    <row r="672" spans="1:19" x14ac:dyDescent="0.4">
      <c r="A672" t="s">
        <v>1416</v>
      </c>
      <c r="B672" s="24">
        <v>1955</v>
      </c>
      <c r="C672" s="24">
        <v>2</v>
      </c>
      <c r="D672" s="24">
        <v>11</v>
      </c>
      <c r="G672" s="20">
        <f t="shared" si="135"/>
        <v>-469800000</v>
      </c>
      <c r="J672" t="s">
        <v>656</v>
      </c>
      <c r="K672" s="22" t="str">
        <f t="shared" si="138"/>
        <v>point</v>
      </c>
      <c r="M672" s="23">
        <f t="shared" si="133"/>
        <v>-16028553</v>
      </c>
      <c r="N672" s="23">
        <f t="shared" si="134"/>
        <v>-7.204894317583066</v>
      </c>
      <c r="O672" t="s">
        <v>462</v>
      </c>
      <c r="P672">
        <v>4</v>
      </c>
      <c r="S672" t="s">
        <v>867</v>
      </c>
    </row>
    <row r="673" spans="1:19" x14ac:dyDescent="0.4">
      <c r="A673" t="s">
        <v>1416</v>
      </c>
      <c r="B673" s="24">
        <v>1958</v>
      </c>
      <c r="C673" s="24">
        <v>10</v>
      </c>
      <c r="D673" s="24">
        <v>2</v>
      </c>
      <c r="G673" s="20">
        <f t="shared" si="135"/>
        <v>-354974400</v>
      </c>
      <c r="H673" s="20">
        <v>6384</v>
      </c>
      <c r="J673" t="s">
        <v>656</v>
      </c>
      <c r="K673" s="22" t="str">
        <f t="shared" si="138"/>
        <v>span</v>
      </c>
      <c r="M673" s="23">
        <f t="shared" si="133"/>
        <v>-15996657</v>
      </c>
      <c r="N673" s="23">
        <f t="shared" si="134"/>
        <v>-7.204029232771755</v>
      </c>
      <c r="O673" t="s">
        <v>462</v>
      </c>
      <c r="P673">
        <v>4</v>
      </c>
      <c r="S673" t="s">
        <v>867</v>
      </c>
    </row>
    <row r="674" spans="1:19" x14ac:dyDescent="0.4">
      <c r="A674" t="s">
        <v>1416</v>
      </c>
      <c r="B674" s="24">
        <v>1959</v>
      </c>
      <c r="C674" s="24">
        <v>12</v>
      </c>
      <c r="D674" s="24">
        <v>16</v>
      </c>
      <c r="G674" s="20">
        <f t="shared" si="135"/>
        <v>-316958400</v>
      </c>
      <c r="H674" s="20">
        <v>31056</v>
      </c>
      <c r="J674" t="s">
        <v>656</v>
      </c>
      <c r="K674" s="22" t="str">
        <f t="shared" si="138"/>
        <v>span</v>
      </c>
      <c r="M674" s="23">
        <f t="shared" si="133"/>
        <v>-15986097</v>
      </c>
      <c r="N674" s="23">
        <f t="shared" si="134"/>
        <v>-7.2037424438419739</v>
      </c>
      <c r="O674" t="s">
        <v>462</v>
      </c>
      <c r="P674">
        <v>4</v>
      </c>
      <c r="S674" t="s">
        <v>867</v>
      </c>
    </row>
    <row r="675" spans="1:19" x14ac:dyDescent="0.4">
      <c r="A675" t="s">
        <v>1416</v>
      </c>
      <c r="B675" s="24">
        <v>1965</v>
      </c>
      <c r="C675" s="24">
        <v>7</v>
      </c>
      <c r="D675" s="24">
        <v>2</v>
      </c>
      <c r="G675" s="20">
        <f t="shared" si="135"/>
        <v>-141998400</v>
      </c>
      <c r="J675" t="s">
        <v>656</v>
      </c>
      <c r="K675" s="22" t="str">
        <f t="shared" si="138"/>
        <v>point</v>
      </c>
      <c r="M675" s="23">
        <f t="shared" si="133"/>
        <v>-15937497</v>
      </c>
      <c r="N675" s="23">
        <f t="shared" si="134"/>
        <v>-7.2024201160284731</v>
      </c>
      <c r="O675" t="s">
        <v>462</v>
      </c>
      <c r="P675">
        <v>4</v>
      </c>
      <c r="S675" t="s">
        <v>867</v>
      </c>
    </row>
    <row r="676" spans="1:19" x14ac:dyDescent="0.4">
      <c r="A676" t="s">
        <v>1416</v>
      </c>
      <c r="B676" s="24">
        <v>1969</v>
      </c>
      <c r="C676" s="24">
        <v>7</v>
      </c>
      <c r="D676" s="24">
        <v>2</v>
      </c>
      <c r="G676" s="20">
        <f t="shared" si="135"/>
        <v>-15768000</v>
      </c>
      <c r="J676" t="s">
        <v>656</v>
      </c>
      <c r="K676" s="22" t="str">
        <f t="shared" si="138"/>
        <v>point</v>
      </c>
      <c r="M676" s="23">
        <f t="shared" si="133"/>
        <v>-15902433</v>
      </c>
      <c r="N676" s="23">
        <f t="shared" si="134"/>
        <v>-7.2014635744864837</v>
      </c>
      <c r="O676" t="s">
        <v>462</v>
      </c>
      <c r="P676">
        <v>4</v>
      </c>
      <c r="S676" t="s">
        <v>867</v>
      </c>
    </row>
    <row r="677" spans="1:19" x14ac:dyDescent="0.4">
      <c r="A677" t="s">
        <v>1416</v>
      </c>
      <c r="B677" s="24">
        <v>1972</v>
      </c>
      <c r="C677" s="24">
        <v>6</v>
      </c>
      <c r="D677" s="24">
        <v>10</v>
      </c>
      <c r="G677" s="20">
        <f t="shared" si="135"/>
        <v>77025600</v>
      </c>
      <c r="H677" s="20">
        <v>9264</v>
      </c>
      <c r="J677" t="s">
        <v>656</v>
      </c>
      <c r="K677" s="22" t="str">
        <f t="shared" si="138"/>
        <v>span</v>
      </c>
      <c r="M677" s="23">
        <f t="shared" si="133"/>
        <v>-15876657</v>
      </c>
      <c r="N677" s="23">
        <f t="shared" si="134"/>
        <v>-7.2007590623673261</v>
      </c>
      <c r="O677" t="s">
        <v>462</v>
      </c>
      <c r="P677">
        <v>4</v>
      </c>
      <c r="S677" t="s">
        <v>867</v>
      </c>
    </row>
    <row r="678" spans="1:19" x14ac:dyDescent="0.4">
      <c r="A678" t="s">
        <v>1416</v>
      </c>
      <c r="B678" s="24">
        <v>1975</v>
      </c>
      <c r="C678" s="24">
        <v>3</v>
      </c>
      <c r="D678" s="24">
        <v>27</v>
      </c>
      <c r="G678" s="20">
        <f t="shared" si="135"/>
        <v>165153600</v>
      </c>
      <c r="H678" s="20">
        <v>5112</v>
      </c>
      <c r="J678" t="s">
        <v>656</v>
      </c>
      <c r="K678" s="22" t="str">
        <f t="shared" si="138"/>
        <v>span</v>
      </c>
      <c r="M678" s="23">
        <f t="shared" si="133"/>
        <v>-15852177</v>
      </c>
      <c r="N678" s="23">
        <f t="shared" si="134"/>
        <v>-7.2000889128732384</v>
      </c>
      <c r="O678" t="s">
        <v>462</v>
      </c>
      <c r="P678">
        <v>4</v>
      </c>
      <c r="S678" t="s">
        <v>867</v>
      </c>
    </row>
    <row r="679" spans="1:19" x14ac:dyDescent="0.4">
      <c r="A679" t="s">
        <v>1416</v>
      </c>
      <c r="B679" s="24">
        <v>1978</v>
      </c>
      <c r="C679" s="24">
        <v>7</v>
      </c>
      <c r="D679" s="24">
        <v>10</v>
      </c>
      <c r="G679" s="20">
        <f t="shared" si="135"/>
        <v>268920000</v>
      </c>
      <c r="H679" s="20">
        <v>3096</v>
      </c>
      <c r="J679" t="s">
        <v>656</v>
      </c>
      <c r="K679" s="22" t="str">
        <f t="shared" si="138"/>
        <v>span</v>
      </c>
      <c r="M679" s="23">
        <f t="shared" si="133"/>
        <v>-15823353</v>
      </c>
      <c r="N679" s="23">
        <f t="shared" si="134"/>
        <v>-7.1992985167787378</v>
      </c>
      <c r="O679" t="s">
        <v>462</v>
      </c>
      <c r="P679">
        <v>4</v>
      </c>
      <c r="S679" t="s">
        <v>867</v>
      </c>
    </row>
    <row r="680" spans="1:19" x14ac:dyDescent="0.4">
      <c r="A680" t="s">
        <v>1416</v>
      </c>
      <c r="B680" s="24">
        <v>1979</v>
      </c>
      <c r="C680" s="24">
        <v>7</v>
      </c>
      <c r="D680" s="24">
        <v>15</v>
      </c>
      <c r="G680" s="20">
        <f t="shared" si="135"/>
        <v>300888000</v>
      </c>
      <c r="H680" s="20">
        <v>2976</v>
      </c>
      <c r="J680" t="s">
        <v>656</v>
      </c>
      <c r="K680" s="22" t="str">
        <f t="shared" si="138"/>
        <v>span</v>
      </c>
      <c r="M680" s="23">
        <f t="shared" si="133"/>
        <v>-15814473</v>
      </c>
      <c r="N680" s="23">
        <f t="shared" si="134"/>
        <v>-7.1990547241047045</v>
      </c>
      <c r="O680" t="s">
        <v>462</v>
      </c>
      <c r="P680">
        <v>4</v>
      </c>
      <c r="S680" t="s">
        <v>867</v>
      </c>
    </row>
    <row r="681" spans="1:19" x14ac:dyDescent="0.4">
      <c r="A681" t="s">
        <v>1416</v>
      </c>
      <c r="B681" s="24">
        <v>1980</v>
      </c>
      <c r="C681" s="24">
        <v>3</v>
      </c>
      <c r="D681" s="24">
        <v>15</v>
      </c>
      <c r="G681" s="20">
        <f t="shared" si="135"/>
        <v>321969600</v>
      </c>
      <c r="H681" s="20">
        <v>6624</v>
      </c>
      <c r="J681" t="s">
        <v>656</v>
      </c>
      <c r="K681" s="22" t="str">
        <f t="shared" si="138"/>
        <v>span</v>
      </c>
      <c r="M681" s="23">
        <f t="shared" si="133"/>
        <v>-15808617</v>
      </c>
      <c r="N681" s="23">
        <f t="shared" si="134"/>
        <v>-7.1988938778044158</v>
      </c>
      <c r="O681" t="s">
        <v>462</v>
      </c>
      <c r="P681">
        <v>4</v>
      </c>
      <c r="S681" t="s">
        <v>867</v>
      </c>
    </row>
    <row r="682" spans="1:19" x14ac:dyDescent="0.4">
      <c r="A682" t="s">
        <v>1416</v>
      </c>
      <c r="B682" s="24">
        <v>1981</v>
      </c>
      <c r="C682" s="24">
        <v>4</v>
      </c>
      <c r="D682" s="24">
        <v>24</v>
      </c>
      <c r="G682" s="20">
        <f t="shared" si="135"/>
        <v>356961600</v>
      </c>
      <c r="H682" s="20">
        <v>4296</v>
      </c>
      <c r="J682" t="s">
        <v>656</v>
      </c>
      <c r="K682" s="22" t="str">
        <f t="shared" si="138"/>
        <v>span</v>
      </c>
      <c r="M682" s="23">
        <f t="shared" si="133"/>
        <v>-15798897</v>
      </c>
      <c r="N682" s="23">
        <f t="shared" si="134"/>
        <v>-7.1986267677433604</v>
      </c>
      <c r="O682" t="s">
        <v>462</v>
      </c>
      <c r="P682">
        <v>4</v>
      </c>
      <c r="S682" t="s">
        <v>867</v>
      </c>
    </row>
    <row r="683" spans="1:19" x14ac:dyDescent="0.4">
      <c r="A683" t="s">
        <v>1416</v>
      </c>
      <c r="B683" s="24">
        <v>1988</v>
      </c>
      <c r="C683" s="24">
        <v>2</v>
      </c>
      <c r="D683" s="24">
        <v>14</v>
      </c>
      <c r="G683" s="20">
        <f t="shared" si="135"/>
        <v>571838400</v>
      </c>
      <c r="H683" s="20">
        <v>1488</v>
      </c>
      <c r="J683" t="s">
        <v>656</v>
      </c>
      <c r="K683" s="22" t="str">
        <f t="shared" si="138"/>
        <v>span</v>
      </c>
      <c r="M683" s="23">
        <f t="shared" si="133"/>
        <v>-15739209</v>
      </c>
      <c r="N683" s="23">
        <f t="shared" si="134"/>
        <v>-7.1969829023834464</v>
      </c>
      <c r="O683" t="s">
        <v>462</v>
      </c>
      <c r="P683">
        <v>4</v>
      </c>
      <c r="S683" t="s">
        <v>867</v>
      </c>
    </row>
    <row r="684" spans="1:19" x14ac:dyDescent="0.4">
      <c r="A684" t="s">
        <v>1416</v>
      </c>
      <c r="B684" s="24">
        <v>1992</v>
      </c>
      <c r="C684" s="24">
        <v>11</v>
      </c>
      <c r="D684" s="24">
        <v>7</v>
      </c>
      <c r="G684" s="20">
        <f t="shared" si="135"/>
        <v>721137600</v>
      </c>
      <c r="H684" s="20">
        <v>8232</v>
      </c>
      <c r="J684" t="s">
        <v>656</v>
      </c>
      <c r="K684" s="22" t="str">
        <f t="shared" si="138"/>
        <v>span</v>
      </c>
      <c r="M684" s="23">
        <f t="shared" si="133"/>
        <v>-15697737</v>
      </c>
      <c r="N684" s="23">
        <f t="shared" si="134"/>
        <v>-7.1958370486353216</v>
      </c>
      <c r="O684" t="s">
        <v>462</v>
      </c>
      <c r="P684">
        <v>4</v>
      </c>
      <c r="S684" t="s">
        <v>867</v>
      </c>
    </row>
    <row r="685" spans="1:19" x14ac:dyDescent="0.4">
      <c r="A685" t="s">
        <v>1416</v>
      </c>
      <c r="B685" s="24">
        <v>1994</v>
      </c>
      <c r="C685" s="24">
        <v>3</v>
      </c>
      <c r="D685" s="24">
        <v>19</v>
      </c>
      <c r="G685" s="20">
        <f t="shared" si="135"/>
        <v>764078400</v>
      </c>
      <c r="H685" s="20">
        <v>10896</v>
      </c>
      <c r="J685" t="s">
        <v>656</v>
      </c>
      <c r="K685" s="22" t="str">
        <f t="shared" si="138"/>
        <v>span</v>
      </c>
      <c r="M685" s="23">
        <f t="shared" si="133"/>
        <v>-15685809</v>
      </c>
      <c r="N685" s="23">
        <f t="shared" si="134"/>
        <v>-7.1955069224711474</v>
      </c>
      <c r="O685" t="s">
        <v>462</v>
      </c>
      <c r="P685">
        <v>4</v>
      </c>
      <c r="S685" t="s">
        <v>867</v>
      </c>
    </row>
    <row r="686" spans="1:19" x14ac:dyDescent="0.4">
      <c r="A686" t="s">
        <v>1416</v>
      </c>
      <c r="B686" s="24">
        <v>1996</v>
      </c>
      <c r="C686" s="24">
        <v>7</v>
      </c>
      <c r="D686" s="24">
        <v>16</v>
      </c>
      <c r="G686" s="20">
        <f t="shared" si="135"/>
        <v>837518400</v>
      </c>
      <c r="H686" s="20">
        <v>2208</v>
      </c>
      <c r="J686" t="s">
        <v>656</v>
      </c>
      <c r="K686" s="22" t="str">
        <f t="shared" si="138"/>
        <v>span</v>
      </c>
      <c r="M686" s="23">
        <f t="shared" si="133"/>
        <v>-15665409</v>
      </c>
      <c r="N686" s="23">
        <f t="shared" si="134"/>
        <v>-7.1949417381340535</v>
      </c>
      <c r="O686" t="s">
        <v>462</v>
      </c>
      <c r="P686">
        <v>4</v>
      </c>
      <c r="S686" t="s">
        <v>867</v>
      </c>
    </row>
    <row r="687" spans="1:19" x14ac:dyDescent="0.4">
      <c r="A687" t="s">
        <v>1416</v>
      </c>
      <c r="B687" s="24">
        <v>1997</v>
      </c>
      <c r="C687" s="24">
        <v>3</v>
      </c>
      <c r="D687" s="24">
        <v>16</v>
      </c>
      <c r="G687" s="20">
        <f t="shared" si="135"/>
        <v>858513600</v>
      </c>
      <c r="H687" s="20">
        <v>1464</v>
      </c>
      <c r="J687" t="s">
        <v>656</v>
      </c>
      <c r="K687" s="22" t="str">
        <f t="shared" si="138"/>
        <v>span</v>
      </c>
      <c r="M687" s="23">
        <f t="shared" si="133"/>
        <v>-15659577</v>
      </c>
      <c r="N687" s="23">
        <f t="shared" si="134"/>
        <v>-7.1947800266205846</v>
      </c>
      <c r="O687" t="s">
        <v>462</v>
      </c>
      <c r="P687">
        <v>4</v>
      </c>
      <c r="S687" t="s">
        <v>867</v>
      </c>
    </row>
    <row r="688" spans="1:19" x14ac:dyDescent="0.4">
      <c r="A688" t="s">
        <v>1416</v>
      </c>
      <c r="B688" s="24">
        <v>1999</v>
      </c>
      <c r="C688" s="24">
        <v>2</v>
      </c>
      <c r="D688" s="24">
        <v>5</v>
      </c>
      <c r="G688" s="20">
        <f t="shared" si="135"/>
        <v>918216000</v>
      </c>
      <c r="H688" s="20">
        <v>4608</v>
      </c>
      <c r="J688" t="s">
        <v>656</v>
      </c>
      <c r="K688" s="22" t="str">
        <f t="shared" si="138"/>
        <v>span</v>
      </c>
      <c r="M688" s="23">
        <f t="shared" si="133"/>
        <v>-15642993</v>
      </c>
      <c r="N688" s="23">
        <f t="shared" si="134"/>
        <v>-7.1943198509633302</v>
      </c>
      <c r="O688" t="s">
        <v>462</v>
      </c>
      <c r="P688">
        <v>4</v>
      </c>
      <c r="S688" t="s">
        <v>867</v>
      </c>
    </row>
    <row r="689" spans="1:19" x14ac:dyDescent="0.4">
      <c r="A689" t="s">
        <v>1416</v>
      </c>
      <c r="B689" s="24">
        <v>2000</v>
      </c>
      <c r="C689" s="24">
        <v>5</v>
      </c>
      <c r="D689" s="24">
        <v>29</v>
      </c>
      <c r="G689" s="20">
        <f t="shared" si="135"/>
        <v>959601600</v>
      </c>
      <c r="H689" s="20">
        <v>3696</v>
      </c>
      <c r="J689" t="s">
        <v>656</v>
      </c>
      <c r="K689" s="22" t="str">
        <f t="shared" si="138"/>
        <v>span</v>
      </c>
      <c r="M689" s="23">
        <f t="shared" si="133"/>
        <v>-15631497</v>
      </c>
      <c r="N689" s="23">
        <f t="shared" si="134"/>
        <v>-7.1940005716024951</v>
      </c>
      <c r="O689" t="s">
        <v>462</v>
      </c>
      <c r="P689">
        <v>4</v>
      </c>
      <c r="S689" t="s">
        <v>867</v>
      </c>
    </row>
    <row r="690" spans="1:19" x14ac:dyDescent="0.4">
      <c r="A690" t="s">
        <v>1416</v>
      </c>
      <c r="B690" s="24">
        <v>2001</v>
      </c>
      <c r="C690" s="24">
        <v>7</v>
      </c>
      <c r="D690" s="24">
        <v>21</v>
      </c>
      <c r="G690" s="20">
        <f t="shared" si="135"/>
        <v>995716800</v>
      </c>
      <c r="H690" s="20">
        <v>1392</v>
      </c>
      <c r="J690" t="s">
        <v>656</v>
      </c>
      <c r="K690" s="22" t="str">
        <f t="shared" si="138"/>
        <v>span</v>
      </c>
      <c r="M690" s="23">
        <f t="shared" si="133"/>
        <v>-15621465</v>
      </c>
      <c r="N690" s="23">
        <f t="shared" si="134"/>
        <v>-7.1937217601162695</v>
      </c>
      <c r="O690" t="s">
        <v>462</v>
      </c>
      <c r="P690">
        <v>4</v>
      </c>
      <c r="S690" t="s">
        <v>867</v>
      </c>
    </row>
    <row r="691" spans="1:19" x14ac:dyDescent="0.4">
      <c r="A691" t="s">
        <v>1416</v>
      </c>
      <c r="B691" s="24">
        <v>2007</v>
      </c>
      <c r="C691" s="24">
        <v>10</v>
      </c>
      <c r="D691" s="24">
        <v>23</v>
      </c>
      <c r="G691" s="20">
        <f t="shared" si="135"/>
        <v>1193140800</v>
      </c>
      <c r="H691" s="20">
        <v>7488</v>
      </c>
      <c r="J691" t="s">
        <v>656</v>
      </c>
      <c r="K691" s="22" t="str">
        <f t="shared" si="138"/>
        <v>span</v>
      </c>
      <c r="M691" s="23">
        <f t="shared" si="133"/>
        <v>-15566625</v>
      </c>
      <c r="N691" s="23">
        <f t="shared" si="134"/>
        <v>-7.1921944633864303</v>
      </c>
      <c r="O691" t="s">
        <v>462</v>
      </c>
      <c r="P691">
        <v>4</v>
      </c>
      <c r="S691" t="s">
        <v>867</v>
      </c>
    </row>
    <row r="692" spans="1:19" x14ac:dyDescent="0.4">
      <c r="A692" t="s">
        <v>1416</v>
      </c>
      <c r="B692" s="24">
        <v>2009</v>
      </c>
      <c r="C692" s="24">
        <v>3</v>
      </c>
      <c r="D692" s="24">
        <v>25</v>
      </c>
      <c r="G692" s="20">
        <f t="shared" si="135"/>
        <v>1237982400</v>
      </c>
      <c r="H692" s="20">
        <v>4200</v>
      </c>
      <c r="J692" t="s">
        <v>656</v>
      </c>
      <c r="K692" s="22" t="str">
        <f t="shared" si="138"/>
        <v>span</v>
      </c>
      <c r="M692" s="23">
        <f t="shared" si="133"/>
        <v>-15554169</v>
      </c>
      <c r="N692" s="23">
        <f t="shared" si="134"/>
        <v>-7.1918468133646831</v>
      </c>
      <c r="O692" t="s">
        <v>462</v>
      </c>
      <c r="P692">
        <v>4</v>
      </c>
      <c r="S692" t="s">
        <v>867</v>
      </c>
    </row>
    <row r="693" spans="1:19" x14ac:dyDescent="0.4">
      <c r="A693" t="s">
        <v>1416</v>
      </c>
      <c r="B693" s="24">
        <v>2010</v>
      </c>
      <c r="C693" s="24">
        <v>10</v>
      </c>
      <c r="D693" s="24">
        <v>25</v>
      </c>
      <c r="G693" s="20">
        <f t="shared" si="135"/>
        <v>1288008000</v>
      </c>
      <c r="H693" s="20">
        <v>3240</v>
      </c>
      <c r="J693" t="s">
        <v>656</v>
      </c>
      <c r="K693" s="22" t="str">
        <f t="shared" si="138"/>
        <v>span</v>
      </c>
      <c r="M693" s="23">
        <f t="shared" si="133"/>
        <v>-15540273</v>
      </c>
      <c r="N693" s="23">
        <f t="shared" si="134"/>
        <v>-7.191458643895535</v>
      </c>
      <c r="O693" t="s">
        <v>462</v>
      </c>
      <c r="P693">
        <v>4</v>
      </c>
      <c r="S693" t="s">
        <v>867</v>
      </c>
    </row>
    <row r="694" spans="1:19" x14ac:dyDescent="0.4">
      <c r="A694" t="s">
        <v>1416</v>
      </c>
      <c r="B694" s="24">
        <v>2011</v>
      </c>
      <c r="C694" s="24">
        <v>7</v>
      </c>
      <c r="D694" s="24">
        <v>31</v>
      </c>
      <c r="G694" s="20">
        <f t="shared" si="135"/>
        <v>1312113600</v>
      </c>
      <c r="H694" s="20">
        <v>9744</v>
      </c>
      <c r="J694" t="s">
        <v>656</v>
      </c>
      <c r="K694" s="22" t="str">
        <f t="shared" si="138"/>
        <v>span</v>
      </c>
      <c r="M694" s="23">
        <f t="shared" si="133"/>
        <v>-15533577</v>
      </c>
      <c r="N694" s="23">
        <f t="shared" si="134"/>
        <v>-7.1912714745621029</v>
      </c>
      <c r="O694" t="s">
        <v>462</v>
      </c>
      <c r="P694">
        <v>4</v>
      </c>
      <c r="S694" t="s">
        <v>867</v>
      </c>
    </row>
    <row r="695" spans="1:19" x14ac:dyDescent="0.4">
      <c r="A695" t="s">
        <v>1416</v>
      </c>
      <c r="B695" s="24">
        <v>2014</v>
      </c>
      <c r="C695" s="24">
        <v>3</v>
      </c>
      <c r="D695" s="24">
        <v>31</v>
      </c>
      <c r="G695" s="20">
        <f t="shared" si="135"/>
        <v>1396267200</v>
      </c>
      <c r="J695" t="s">
        <v>656</v>
      </c>
      <c r="K695" s="22" t="str">
        <f t="shared" si="138"/>
        <v>point</v>
      </c>
      <c r="M695" s="23">
        <f t="shared" si="133"/>
        <v>-15510201</v>
      </c>
      <c r="N695" s="23">
        <f t="shared" si="134"/>
        <v>-7.1906174259648132</v>
      </c>
      <c r="O695" t="s">
        <v>462</v>
      </c>
      <c r="P695">
        <v>4</v>
      </c>
      <c r="S695" t="s">
        <v>867</v>
      </c>
    </row>
    <row r="696" spans="1:19" x14ac:dyDescent="0.4">
      <c r="A696" t="s">
        <v>1416</v>
      </c>
      <c r="B696" s="24">
        <v>2017</v>
      </c>
      <c r="C696" s="24">
        <v>2</v>
      </c>
      <c r="D696" s="24">
        <v>19</v>
      </c>
      <c r="G696" s="20">
        <f t="shared" si="135"/>
        <v>1487505600</v>
      </c>
      <c r="J696" t="s">
        <v>656</v>
      </c>
      <c r="K696" s="22" t="str">
        <f t="shared" si="138"/>
        <v>point</v>
      </c>
      <c r="M696" s="23">
        <f t="shared" si="133"/>
        <v>-15484857</v>
      </c>
      <c r="N696" s="23">
        <f t="shared" si="134"/>
        <v>-7.18990719907623</v>
      </c>
      <c r="O696" t="s">
        <v>462</v>
      </c>
      <c r="P696">
        <v>4</v>
      </c>
      <c r="S696" t="s">
        <v>867</v>
      </c>
    </row>
    <row r="697" spans="1:19" x14ac:dyDescent="0.4">
      <c r="A697" t="s">
        <v>1412</v>
      </c>
      <c r="B697" s="24">
        <v>1990</v>
      </c>
      <c r="C697" s="24">
        <v>8</v>
      </c>
      <c r="D697" s="24">
        <v>3</v>
      </c>
      <c r="G697" s="20">
        <f t="shared" si="135"/>
        <v>649684800</v>
      </c>
      <c r="J697" t="s">
        <v>656</v>
      </c>
      <c r="K697" s="22" t="str">
        <f t="shared" ref="K697" si="139">IF(H697="",IF(I697="","point","middle"),"span")</f>
        <v>point</v>
      </c>
      <c r="M697" s="23">
        <f t="shared" ref="M697:M715" si="140">(G697-676716660)/3600</f>
        <v>-7508.85</v>
      </c>
      <c r="N697" s="23">
        <f t="shared" si="134"/>
        <v>-3.8755734287621704</v>
      </c>
      <c r="O697" t="s">
        <v>462</v>
      </c>
      <c r="P697">
        <v>3</v>
      </c>
      <c r="Q697" t="s">
        <v>868</v>
      </c>
      <c r="S697" t="s">
        <v>815</v>
      </c>
    </row>
    <row r="698" spans="1:19" x14ac:dyDescent="0.4">
      <c r="A698" t="s">
        <v>1412</v>
      </c>
      <c r="B698" s="24">
        <v>1991</v>
      </c>
      <c r="C698" s="24">
        <v>3</v>
      </c>
      <c r="D698" s="24">
        <v>15</v>
      </c>
      <c r="G698" s="20">
        <f t="shared" si="135"/>
        <v>669038400</v>
      </c>
      <c r="H698" s="20">
        <f>18*24</f>
        <v>432</v>
      </c>
      <c r="J698" t="s">
        <v>656</v>
      </c>
      <c r="K698" s="22" t="str">
        <f t="shared" si="136"/>
        <v>span</v>
      </c>
      <c r="M698" s="23">
        <f t="shared" si="140"/>
        <v>-2132.85</v>
      </c>
      <c r="N698" s="23">
        <f t="shared" si="134"/>
        <v>-3.3289603132726939</v>
      </c>
      <c r="O698" t="s">
        <v>464</v>
      </c>
      <c r="P698">
        <v>1</v>
      </c>
      <c r="Q698" t="s">
        <v>816</v>
      </c>
      <c r="S698" t="s">
        <v>815</v>
      </c>
    </row>
    <row r="699" spans="1:19" x14ac:dyDescent="0.4">
      <c r="A699" t="s">
        <v>1412</v>
      </c>
      <c r="B699" s="24">
        <v>1991</v>
      </c>
      <c r="C699" s="24">
        <v>4</v>
      </c>
      <c r="D699" s="24">
        <v>2</v>
      </c>
      <c r="E699" s="24">
        <v>6</v>
      </c>
      <c r="F699" s="24">
        <v>0</v>
      </c>
      <c r="G699" s="20">
        <f t="shared" si="135"/>
        <v>670572000</v>
      </c>
      <c r="H699" s="20">
        <v>10</v>
      </c>
      <c r="J699" t="s">
        <v>656</v>
      </c>
      <c r="K699" s="22" t="str">
        <f t="shared" si="136"/>
        <v>span</v>
      </c>
      <c r="M699" s="23">
        <f t="shared" si="140"/>
        <v>-1706.85</v>
      </c>
      <c r="N699" s="23">
        <f t="shared" ref="N699:N715" si="141">IF(M699=0,0, IF(M699&gt;0,LOG10(M699), -LOG10(-1*M699)))</f>
        <v>-3.2321953564781341</v>
      </c>
      <c r="O699" t="s">
        <v>464</v>
      </c>
      <c r="P699">
        <v>2</v>
      </c>
      <c r="Q699" t="s">
        <v>817</v>
      </c>
      <c r="S699" t="s">
        <v>815</v>
      </c>
    </row>
    <row r="700" spans="1:19" x14ac:dyDescent="0.4">
      <c r="A700" t="s">
        <v>1412</v>
      </c>
      <c r="B700" s="24">
        <v>1991</v>
      </c>
      <c r="C700" s="24">
        <v>4</v>
      </c>
      <c r="D700" s="24">
        <v>2</v>
      </c>
      <c r="E700" s="24">
        <v>16</v>
      </c>
      <c r="F700" s="24">
        <v>0</v>
      </c>
      <c r="G700" s="20">
        <f t="shared" si="135"/>
        <v>670607999.99999976</v>
      </c>
      <c r="H700" s="20">
        <v>3</v>
      </c>
      <c r="J700" t="s">
        <v>656</v>
      </c>
      <c r="K700" s="22" t="str">
        <f t="shared" si="136"/>
        <v>span</v>
      </c>
      <c r="M700" s="23">
        <f t="shared" si="140"/>
        <v>-1696.8500000000663</v>
      </c>
      <c r="N700" s="23">
        <f t="shared" si="141"/>
        <v>-3.229643452776418</v>
      </c>
      <c r="O700" t="s">
        <v>462</v>
      </c>
      <c r="P700">
        <v>4</v>
      </c>
      <c r="Q700" t="s">
        <v>820</v>
      </c>
      <c r="S700" t="s">
        <v>815</v>
      </c>
    </row>
    <row r="701" spans="1:19" x14ac:dyDescent="0.4">
      <c r="A701" t="s">
        <v>1412</v>
      </c>
      <c r="B701" s="24">
        <v>1991</v>
      </c>
      <c r="C701" s="24">
        <v>4</v>
      </c>
      <c r="D701" s="24">
        <v>2</v>
      </c>
      <c r="G701" s="20">
        <f t="shared" si="135"/>
        <v>670593600</v>
      </c>
      <c r="H701" s="20">
        <f>30*24</f>
        <v>720</v>
      </c>
      <c r="J701" t="s">
        <v>656</v>
      </c>
      <c r="K701" s="22" t="str">
        <f t="shared" si="136"/>
        <v>span</v>
      </c>
      <c r="M701" s="23">
        <f t="shared" si="140"/>
        <v>-1700.85</v>
      </c>
      <c r="N701" s="23">
        <f t="shared" si="141"/>
        <v>-3.2306660143505042</v>
      </c>
      <c r="O701" t="s">
        <v>462</v>
      </c>
      <c r="P701">
        <v>3</v>
      </c>
      <c r="Q701" t="s">
        <v>821</v>
      </c>
      <c r="S701" t="s">
        <v>815</v>
      </c>
    </row>
    <row r="702" spans="1:19" x14ac:dyDescent="0.4">
      <c r="A702" t="s">
        <v>1412</v>
      </c>
      <c r="B702" s="24">
        <v>1991</v>
      </c>
      <c r="C702" s="24">
        <v>4</v>
      </c>
      <c r="D702" s="24">
        <v>5</v>
      </c>
      <c r="G702" s="20">
        <f t="shared" si="135"/>
        <v>670852800</v>
      </c>
      <c r="H702" s="20">
        <f>51*24</f>
        <v>1224</v>
      </c>
      <c r="J702" t="s">
        <v>656</v>
      </c>
      <c r="K702" s="22" t="str">
        <f t="shared" si="136"/>
        <v>span</v>
      </c>
      <c r="M702" s="23">
        <f t="shared" si="140"/>
        <v>-1628.85</v>
      </c>
      <c r="N702" s="23">
        <f t="shared" si="141"/>
        <v>-3.2118810921834382</v>
      </c>
      <c r="O702" t="s">
        <v>464</v>
      </c>
      <c r="P702">
        <v>3</v>
      </c>
      <c r="Q702" t="s">
        <v>818</v>
      </c>
      <c r="S702" t="s">
        <v>815</v>
      </c>
    </row>
    <row r="703" spans="1:19" x14ac:dyDescent="0.4">
      <c r="A703" t="s">
        <v>1412</v>
      </c>
      <c r="B703" s="24">
        <v>1991</v>
      </c>
      <c r="C703" s="24">
        <v>5</v>
      </c>
      <c r="D703" s="24">
        <v>13</v>
      </c>
      <c r="G703" s="20">
        <f t="shared" si="135"/>
        <v>674136000</v>
      </c>
      <c r="H703" s="20">
        <f>24*3</f>
        <v>72</v>
      </c>
      <c r="J703" t="s">
        <v>656</v>
      </c>
      <c r="K703" s="22" t="str">
        <f t="shared" si="136"/>
        <v>span</v>
      </c>
      <c r="M703" s="23">
        <f t="shared" si="140"/>
        <v>-716.85</v>
      </c>
      <c r="N703" s="23">
        <f t="shared" si="141"/>
        <v>-2.8554282895764751</v>
      </c>
      <c r="O703" t="s">
        <v>462</v>
      </c>
      <c r="P703">
        <v>1</v>
      </c>
      <c r="Q703" t="s">
        <v>807</v>
      </c>
      <c r="S703" t="s">
        <v>814</v>
      </c>
    </row>
    <row r="704" spans="1:19" x14ac:dyDescent="0.4">
      <c r="A704" t="s">
        <v>1412</v>
      </c>
      <c r="B704" s="24">
        <v>1991</v>
      </c>
      <c r="C704" s="24">
        <v>5</v>
      </c>
      <c r="D704" s="24">
        <v>16</v>
      </c>
      <c r="G704" s="20">
        <f t="shared" si="135"/>
        <v>674395200</v>
      </c>
      <c r="H704" s="20">
        <f>12*24</f>
        <v>288</v>
      </c>
      <c r="J704" t="s">
        <v>656</v>
      </c>
      <c r="K704" s="22" t="str">
        <f t="shared" si="136"/>
        <v>span</v>
      </c>
      <c r="M704" s="23">
        <f t="shared" si="140"/>
        <v>-644.85</v>
      </c>
      <c r="N704" s="23">
        <f t="shared" si="141"/>
        <v>-2.8094587041726884</v>
      </c>
      <c r="O704" t="s">
        <v>462</v>
      </c>
      <c r="P704">
        <v>3</v>
      </c>
      <c r="Q704" t="s">
        <v>822</v>
      </c>
      <c r="S704" t="s">
        <v>815</v>
      </c>
    </row>
    <row r="705" spans="1:19" x14ac:dyDescent="0.4">
      <c r="A705" t="s">
        <v>1412</v>
      </c>
      <c r="B705" s="24">
        <v>1991</v>
      </c>
      <c r="C705" s="24">
        <v>5</v>
      </c>
      <c r="D705" s="24">
        <v>20</v>
      </c>
      <c r="G705" s="20">
        <f t="shared" si="135"/>
        <v>674740800</v>
      </c>
      <c r="H705" s="20">
        <f>4*24</f>
        <v>96</v>
      </c>
      <c r="J705" t="s">
        <v>656</v>
      </c>
      <c r="K705" s="22" t="str">
        <f t="shared" si="136"/>
        <v>span</v>
      </c>
      <c r="M705" s="23">
        <f t="shared" si="140"/>
        <v>-548.85</v>
      </c>
      <c r="N705" s="23">
        <f t="shared" si="141"/>
        <v>-2.7394536685422888</v>
      </c>
      <c r="O705" t="s">
        <v>462</v>
      </c>
      <c r="P705">
        <v>2</v>
      </c>
      <c r="Q705" t="s">
        <v>806</v>
      </c>
      <c r="S705" t="s">
        <v>814</v>
      </c>
    </row>
    <row r="706" spans="1:19" x14ac:dyDescent="0.4">
      <c r="A706" t="s">
        <v>1412</v>
      </c>
      <c r="B706" s="24">
        <v>1991</v>
      </c>
      <c r="C706" s="24">
        <v>5</v>
      </c>
      <c r="D706" s="24">
        <v>27</v>
      </c>
      <c r="G706" s="20">
        <f t="shared" si="135"/>
        <v>675345600</v>
      </c>
      <c r="H706" s="20">
        <f>12*24</f>
        <v>288</v>
      </c>
      <c r="J706" t="s">
        <v>656</v>
      </c>
      <c r="K706" s="22" t="str">
        <f t="shared" si="136"/>
        <v>span</v>
      </c>
      <c r="M706" s="23">
        <f t="shared" si="140"/>
        <v>-380.85</v>
      </c>
      <c r="N706" s="23">
        <f t="shared" si="141"/>
        <v>-2.5807539599294036</v>
      </c>
      <c r="O706" t="s">
        <v>464</v>
      </c>
      <c r="P706">
        <v>2</v>
      </c>
      <c r="Q706" t="s">
        <v>819</v>
      </c>
      <c r="S706" t="s">
        <v>815</v>
      </c>
    </row>
    <row r="707" spans="1:19" x14ac:dyDescent="0.4">
      <c r="A707" t="s">
        <v>1412</v>
      </c>
      <c r="B707" s="24">
        <v>1991</v>
      </c>
      <c r="C707" s="24">
        <v>5</v>
      </c>
      <c r="D707" s="24">
        <v>27</v>
      </c>
      <c r="G707" s="20">
        <f t="shared" si="135"/>
        <v>675345600</v>
      </c>
      <c r="H707" s="20">
        <v>24</v>
      </c>
      <c r="J707" t="s">
        <v>656</v>
      </c>
      <c r="K707" s="22" t="str">
        <f t="shared" si="136"/>
        <v>span</v>
      </c>
      <c r="M707" s="23">
        <f t="shared" si="140"/>
        <v>-380.85</v>
      </c>
      <c r="N707" s="23">
        <f t="shared" si="141"/>
        <v>-2.5807539599294036</v>
      </c>
      <c r="O707" t="s">
        <v>462</v>
      </c>
      <c r="P707">
        <v>2</v>
      </c>
      <c r="Q707" t="s">
        <v>805</v>
      </c>
      <c r="S707" t="s">
        <v>814</v>
      </c>
    </row>
    <row r="708" spans="1:19" x14ac:dyDescent="0.4">
      <c r="A708" t="s">
        <v>1412</v>
      </c>
      <c r="B708" s="24">
        <v>1991</v>
      </c>
      <c r="C708" s="24">
        <v>5</v>
      </c>
      <c r="D708" s="24">
        <v>27</v>
      </c>
      <c r="G708" s="20">
        <f t="shared" si="135"/>
        <v>675345600</v>
      </c>
      <c r="H708" s="20">
        <v>120</v>
      </c>
      <c r="J708" t="s">
        <v>656</v>
      </c>
      <c r="K708" s="22" t="str">
        <f t="shared" si="136"/>
        <v>span</v>
      </c>
      <c r="M708" s="23">
        <f t="shared" si="140"/>
        <v>-380.85</v>
      </c>
      <c r="N708" s="23">
        <f t="shared" si="141"/>
        <v>-2.5807539599294036</v>
      </c>
      <c r="O708" t="s">
        <v>462</v>
      </c>
      <c r="P708">
        <v>4</v>
      </c>
      <c r="Q708" t="s">
        <v>823</v>
      </c>
      <c r="S708" t="s">
        <v>815</v>
      </c>
    </row>
    <row r="709" spans="1:19" x14ac:dyDescent="0.4">
      <c r="A709" t="s">
        <v>1412</v>
      </c>
      <c r="B709" s="24">
        <v>1991</v>
      </c>
      <c r="C709" s="24">
        <v>5</v>
      </c>
      <c r="D709" s="24">
        <v>30</v>
      </c>
      <c r="G709" s="20">
        <f t="shared" si="135"/>
        <v>675604800</v>
      </c>
      <c r="H709" s="20">
        <f>9*24</f>
        <v>216</v>
      </c>
      <c r="J709" t="s">
        <v>656</v>
      </c>
      <c r="K709" s="22" t="str">
        <f t="shared" si="136"/>
        <v>span</v>
      </c>
      <c r="M709" s="23">
        <f t="shared" si="140"/>
        <v>-308.85000000000002</v>
      </c>
      <c r="N709" s="23">
        <f t="shared" si="141"/>
        <v>-2.4897476056737124</v>
      </c>
      <c r="O709" t="s">
        <v>462</v>
      </c>
      <c r="P709">
        <v>2</v>
      </c>
      <c r="Q709" t="s">
        <v>808</v>
      </c>
      <c r="S709" t="s">
        <v>814</v>
      </c>
    </row>
    <row r="710" spans="1:19" x14ac:dyDescent="0.4">
      <c r="A710" t="s">
        <v>1412</v>
      </c>
      <c r="B710" s="24">
        <v>1991</v>
      </c>
      <c r="C710" s="24">
        <v>6</v>
      </c>
      <c r="D710" s="24">
        <v>1</v>
      </c>
      <c r="G710" s="20">
        <f t="shared" si="135"/>
        <v>675777600</v>
      </c>
      <c r="H710" s="20">
        <f>13*24</f>
        <v>312</v>
      </c>
      <c r="J710" t="s">
        <v>656</v>
      </c>
      <c r="K710" s="22" t="str">
        <f t="shared" si="136"/>
        <v>span</v>
      </c>
      <c r="M710" s="23">
        <f t="shared" si="140"/>
        <v>-260.85000000000002</v>
      </c>
      <c r="N710" s="23">
        <f t="shared" si="141"/>
        <v>-2.4163908410583939</v>
      </c>
      <c r="O710" t="s">
        <v>462</v>
      </c>
      <c r="P710">
        <v>4</v>
      </c>
      <c r="Q710" t="s">
        <v>827</v>
      </c>
      <c r="S710" t="s">
        <v>815</v>
      </c>
    </row>
    <row r="711" spans="1:19" x14ac:dyDescent="0.4">
      <c r="A711" t="s">
        <v>1412</v>
      </c>
      <c r="B711" s="24">
        <v>1991</v>
      </c>
      <c r="C711" s="24">
        <v>6</v>
      </c>
      <c r="D711" s="24">
        <v>7</v>
      </c>
      <c r="G711" s="20">
        <f t="shared" si="135"/>
        <v>676296000</v>
      </c>
      <c r="H711" s="20">
        <v>24</v>
      </c>
      <c r="J711" t="s">
        <v>656</v>
      </c>
      <c r="K711" s="22" t="str">
        <f t="shared" si="136"/>
        <v>span</v>
      </c>
      <c r="M711" s="23">
        <f t="shared" si="140"/>
        <v>-116.85</v>
      </c>
      <c r="N711" s="23">
        <f t="shared" si="141"/>
        <v>-2.0676287167282457</v>
      </c>
      <c r="O711" t="s">
        <v>462</v>
      </c>
      <c r="P711">
        <v>5</v>
      </c>
      <c r="Q711" t="s">
        <v>828</v>
      </c>
      <c r="S711" t="s">
        <v>804</v>
      </c>
    </row>
    <row r="712" spans="1:19" x14ac:dyDescent="0.4">
      <c r="A712" t="s">
        <v>1412</v>
      </c>
      <c r="B712" s="24">
        <v>1991</v>
      </c>
      <c r="C712" s="24">
        <v>6</v>
      </c>
      <c r="D712" s="24">
        <v>7</v>
      </c>
      <c r="E712" s="24">
        <v>17</v>
      </c>
      <c r="F712" s="24">
        <v>0</v>
      </c>
      <c r="G712" s="20">
        <f t="shared" si="135"/>
        <v>676314000.00000024</v>
      </c>
      <c r="H712" s="20">
        <v>79</v>
      </c>
      <c r="J712" t="s">
        <v>656</v>
      </c>
      <c r="K712" s="22" t="str">
        <f t="shared" si="136"/>
        <v>span</v>
      </c>
      <c r="M712" s="23">
        <f t="shared" si="140"/>
        <v>-111.84999999993377</v>
      </c>
      <c r="N712" s="23">
        <f t="shared" si="141"/>
        <v>-2.0486359884323915</v>
      </c>
      <c r="O712" t="s">
        <v>462</v>
      </c>
      <c r="P712">
        <v>3</v>
      </c>
      <c r="Q712" t="s">
        <v>829</v>
      </c>
      <c r="S712" t="s">
        <v>804</v>
      </c>
    </row>
    <row r="713" spans="1:19" x14ac:dyDescent="0.4">
      <c r="A713" t="s">
        <v>1412</v>
      </c>
      <c r="B713" s="24">
        <v>1991</v>
      </c>
      <c r="C713" s="24">
        <v>6</v>
      </c>
      <c r="D713" s="24">
        <v>10</v>
      </c>
      <c r="G713" s="20">
        <f t="shared" si="135"/>
        <v>676555200</v>
      </c>
      <c r="J713" t="s">
        <v>656</v>
      </c>
      <c r="K713" s="22" t="str">
        <f t="shared" si="136"/>
        <v>point</v>
      </c>
      <c r="M713" s="23">
        <f t="shared" si="140"/>
        <v>-44.85</v>
      </c>
      <c r="N713" s="23">
        <f t="shared" si="141"/>
        <v>-1.6517624473801109</v>
      </c>
      <c r="O713" t="s">
        <v>462</v>
      </c>
      <c r="P713">
        <v>2</v>
      </c>
      <c r="Q713" t="s">
        <v>809</v>
      </c>
      <c r="S713" t="s">
        <v>814</v>
      </c>
    </row>
    <row r="714" spans="1:19" x14ac:dyDescent="0.4">
      <c r="A714" t="s">
        <v>1412</v>
      </c>
      <c r="B714" s="24">
        <v>1991</v>
      </c>
      <c r="C714" s="24">
        <v>6</v>
      </c>
      <c r="D714" s="24">
        <v>10</v>
      </c>
      <c r="E714" s="24">
        <v>13</v>
      </c>
      <c r="F714" s="24">
        <v>30</v>
      </c>
      <c r="G714" s="20">
        <f t="shared" si="135"/>
        <v>676560600</v>
      </c>
      <c r="H714" s="20">
        <v>26.5</v>
      </c>
      <c r="J714" t="s">
        <v>656</v>
      </c>
      <c r="K714" s="22" t="str">
        <f t="shared" si="136"/>
        <v>span</v>
      </c>
      <c r="M714" s="23">
        <f t="shared" si="140"/>
        <v>-43.35</v>
      </c>
      <c r="N714" s="23">
        <f t="shared" si="141"/>
        <v>-1.6369891018122291</v>
      </c>
      <c r="O714" t="s">
        <v>462</v>
      </c>
      <c r="P714">
        <v>3</v>
      </c>
      <c r="Q714" t="s">
        <v>824</v>
      </c>
      <c r="S714" t="s">
        <v>815</v>
      </c>
    </row>
    <row r="715" spans="1:19" x14ac:dyDescent="0.4">
      <c r="A715" t="s">
        <v>1412</v>
      </c>
      <c r="B715" s="24">
        <v>1991</v>
      </c>
      <c r="C715" s="24">
        <v>6</v>
      </c>
      <c r="D715" s="24">
        <v>12</v>
      </c>
      <c r="E715" s="24">
        <v>3</v>
      </c>
      <c r="F715" s="24">
        <v>41</v>
      </c>
      <c r="G715" s="20">
        <f t="shared" si="135"/>
        <v>676698059.99999988</v>
      </c>
      <c r="H715" s="20">
        <v>1</v>
      </c>
      <c r="J715" t="s">
        <v>656</v>
      </c>
      <c r="K715" s="22" t="str">
        <f t="shared" si="136"/>
        <v>span</v>
      </c>
      <c r="M715" s="23">
        <f t="shared" si="140"/>
        <v>-5.16666666669978</v>
      </c>
      <c r="N715" s="23">
        <f t="shared" si="141"/>
        <v>-0.71321044345341245</v>
      </c>
      <c r="O715" t="s">
        <v>462</v>
      </c>
      <c r="P715">
        <v>5</v>
      </c>
      <c r="Q715" t="s">
        <v>830</v>
      </c>
      <c r="S715" t="s">
        <v>804</v>
      </c>
    </row>
    <row r="716" spans="1:19" x14ac:dyDescent="0.4">
      <c r="A716" t="s">
        <v>1412</v>
      </c>
      <c r="B716" s="24">
        <v>1991</v>
      </c>
      <c r="C716" s="24">
        <v>6</v>
      </c>
      <c r="D716" s="24">
        <v>12</v>
      </c>
      <c r="E716" s="24">
        <v>8</v>
      </c>
      <c r="F716" s="24">
        <v>51</v>
      </c>
      <c r="G716" s="20">
        <f t="shared" si="135"/>
        <v>676716660.00000012</v>
      </c>
      <c r="H716" s="20">
        <v>2</v>
      </c>
      <c r="J716" t="s">
        <v>656</v>
      </c>
      <c r="K716" s="22" t="str">
        <f t="shared" si="136"/>
        <v>span</v>
      </c>
      <c r="L716" s="20" t="s">
        <v>670</v>
      </c>
      <c r="M716" s="23">
        <f>(G716-676716660)/3600</f>
        <v>3.3113691541883681E-11</v>
      </c>
      <c r="N716" s="23">
        <f t="shared" ref="N716" si="142">IF(M716=0,0, IF(M716&gt;0,LOG10(M716), -LOG10(-1*M716)))</f>
        <v>-10.479992401038855</v>
      </c>
      <c r="O716" t="s">
        <v>462</v>
      </c>
      <c r="P716">
        <v>6</v>
      </c>
      <c r="Q716" t="s">
        <v>839</v>
      </c>
      <c r="R716" t="s">
        <v>840</v>
      </c>
      <c r="S716" t="s">
        <v>815</v>
      </c>
    </row>
    <row r="717" spans="1:19" x14ac:dyDescent="0.4">
      <c r="A717" t="s">
        <v>1412</v>
      </c>
      <c r="B717" s="24">
        <v>1991</v>
      </c>
      <c r="C717" s="24">
        <v>6</v>
      </c>
      <c r="D717" s="24">
        <v>12</v>
      </c>
      <c r="G717" s="20">
        <f t="shared" si="135"/>
        <v>676728000</v>
      </c>
      <c r="H717" s="20">
        <v>72</v>
      </c>
      <c r="J717" t="s">
        <v>656</v>
      </c>
      <c r="K717" s="22" t="str">
        <f t="shared" si="136"/>
        <v>span</v>
      </c>
      <c r="M717" s="23">
        <f t="shared" ref="M717:M744" si="143">(G717-676716660)/3600</f>
        <v>3.15</v>
      </c>
      <c r="N717" s="23">
        <f t="shared" ref="N717:N744" si="144">IF(M717=0,0, IF(M717&gt;0,LOG10(M717), -LOG10(-1*M717)))</f>
        <v>0.49831055378960049</v>
      </c>
      <c r="O717" t="s">
        <v>464</v>
      </c>
      <c r="P717">
        <v>2</v>
      </c>
      <c r="Q717" t="s">
        <v>826</v>
      </c>
      <c r="S717" t="s">
        <v>815</v>
      </c>
    </row>
    <row r="718" spans="1:19" x14ac:dyDescent="0.4">
      <c r="A718" t="s">
        <v>1412</v>
      </c>
      <c r="B718" s="24">
        <v>1991</v>
      </c>
      <c r="C718" s="24">
        <v>6</v>
      </c>
      <c r="D718" s="24">
        <v>12</v>
      </c>
      <c r="E718" s="24">
        <v>22</v>
      </c>
      <c r="F718" s="24">
        <v>52</v>
      </c>
      <c r="G718" s="20">
        <f t="shared" si="135"/>
        <v>676767119.99999988</v>
      </c>
      <c r="H718" s="20">
        <v>1</v>
      </c>
      <c r="J718" t="s">
        <v>656</v>
      </c>
      <c r="K718" s="22" t="str">
        <f t="shared" si="136"/>
        <v>span</v>
      </c>
      <c r="M718" s="23">
        <f t="shared" si="143"/>
        <v>14.016666666633553</v>
      </c>
      <c r="N718" s="23">
        <f t="shared" si="144"/>
        <v>1.1466447454132425</v>
      </c>
      <c r="O718" t="s">
        <v>462</v>
      </c>
      <c r="P718">
        <v>6</v>
      </c>
      <c r="Q718" t="s">
        <v>837</v>
      </c>
      <c r="R718" t="s">
        <v>838</v>
      </c>
      <c r="S718" t="s">
        <v>804</v>
      </c>
    </row>
    <row r="719" spans="1:19" x14ac:dyDescent="0.4">
      <c r="A719" t="s">
        <v>1412</v>
      </c>
      <c r="B719" s="24">
        <v>1991</v>
      </c>
      <c r="C719" s="24">
        <v>6</v>
      </c>
      <c r="D719" s="24">
        <v>13</v>
      </c>
      <c r="E719" s="24">
        <v>8</v>
      </c>
      <c r="F719" s="24">
        <v>41</v>
      </c>
      <c r="G719" s="20">
        <f t="shared" ref="G719:G742" si="145">(IF(C719="",DATE(B719,7,1),IF(D719="",DATE(B719,C719,16), IF(E719="",DATE(B719,C719,D719)+TIME(12,0,0), IF(F719="", DATE(B719,C719,D719)+TIME(E719,0,0),DATE(B719,C719,D719)+TIME(E719,F719,0))))) - 25569)*86400</f>
        <v>676802460</v>
      </c>
      <c r="H719" s="20">
        <v>0.1</v>
      </c>
      <c r="J719" t="s">
        <v>656</v>
      </c>
      <c r="K719" s="22" t="str">
        <f t="shared" si="136"/>
        <v>span</v>
      </c>
      <c r="M719" s="23">
        <f t="shared" si="143"/>
        <v>23.833333333333332</v>
      </c>
      <c r="N719" s="23">
        <f t="shared" si="144"/>
        <v>1.3771847870814182</v>
      </c>
      <c r="O719" t="s">
        <v>462</v>
      </c>
      <c r="P719">
        <v>6</v>
      </c>
      <c r="Q719" t="s">
        <v>835</v>
      </c>
      <c r="R719" t="s">
        <v>836</v>
      </c>
      <c r="S719" t="s">
        <v>804</v>
      </c>
    </row>
    <row r="720" spans="1:19" x14ac:dyDescent="0.4">
      <c r="A720" t="s">
        <v>1412</v>
      </c>
      <c r="B720" s="24">
        <v>1991</v>
      </c>
      <c r="C720" s="24">
        <v>6</v>
      </c>
      <c r="D720" s="24">
        <v>13</v>
      </c>
      <c r="E720" s="24">
        <v>23</v>
      </c>
      <c r="F720" s="24">
        <v>20</v>
      </c>
      <c r="G720" s="20">
        <f t="shared" si="145"/>
        <v>676855199.99999976</v>
      </c>
      <c r="H720" s="20">
        <v>13</v>
      </c>
      <c r="J720" t="s">
        <v>656</v>
      </c>
      <c r="K720" s="22" t="str">
        <f t="shared" si="136"/>
        <v>span</v>
      </c>
      <c r="M720" s="23">
        <f t="shared" si="143"/>
        <v>38.483333333267105</v>
      </c>
      <c r="N720" s="23">
        <f t="shared" si="144"/>
        <v>1.5852726825327852</v>
      </c>
      <c r="O720" t="s">
        <v>464</v>
      </c>
      <c r="P720">
        <v>2</v>
      </c>
      <c r="Q720" t="s">
        <v>825</v>
      </c>
      <c r="S720" t="s">
        <v>815</v>
      </c>
    </row>
    <row r="721" spans="1:19" x14ac:dyDescent="0.4">
      <c r="A721" t="s">
        <v>1412</v>
      </c>
      <c r="B721" s="24">
        <v>1991</v>
      </c>
      <c r="C721" s="24">
        <v>6</v>
      </c>
      <c r="D721" s="24">
        <v>14</v>
      </c>
      <c r="E721" s="24">
        <v>13</v>
      </c>
      <c r="F721" s="24">
        <v>9</v>
      </c>
      <c r="G721" s="20">
        <f t="shared" si="145"/>
        <v>676904940.00000024</v>
      </c>
      <c r="H721" s="20">
        <v>0.1</v>
      </c>
      <c r="J721" t="s">
        <v>656</v>
      </c>
      <c r="K721" s="22" t="str">
        <f t="shared" si="136"/>
        <v>span</v>
      </c>
      <c r="M721" s="23">
        <f t="shared" si="143"/>
        <v>52.300000000066227</v>
      </c>
      <c r="N721" s="23">
        <f t="shared" si="144"/>
        <v>1.7185016888678242</v>
      </c>
      <c r="O721" t="s">
        <v>462</v>
      </c>
      <c r="P721">
        <v>6</v>
      </c>
      <c r="Q721" t="s">
        <v>833</v>
      </c>
      <c r="R721" t="s">
        <v>834</v>
      </c>
      <c r="S721" t="s">
        <v>804</v>
      </c>
    </row>
    <row r="722" spans="1:19" x14ac:dyDescent="0.4">
      <c r="A722" t="s">
        <v>1412</v>
      </c>
      <c r="B722" s="24">
        <v>1991</v>
      </c>
      <c r="C722" s="24">
        <v>6</v>
      </c>
      <c r="D722" s="24">
        <v>14</v>
      </c>
      <c r="E722" s="24">
        <v>14</v>
      </c>
      <c r="G722" s="20">
        <f t="shared" si="145"/>
        <v>676908000.00000024</v>
      </c>
      <c r="J722" t="s">
        <v>656</v>
      </c>
      <c r="K722" s="22" t="str">
        <f t="shared" si="136"/>
        <v>point</v>
      </c>
      <c r="M722" s="23">
        <f t="shared" si="143"/>
        <v>53.150000000066228</v>
      </c>
      <c r="N722" s="23">
        <f t="shared" si="144"/>
        <v>1.7255032688598566</v>
      </c>
      <c r="O722" t="s">
        <v>462</v>
      </c>
      <c r="P722">
        <v>5</v>
      </c>
      <c r="Q722" t="s">
        <v>831</v>
      </c>
      <c r="S722" t="s">
        <v>804</v>
      </c>
    </row>
    <row r="723" spans="1:19" x14ac:dyDescent="0.4">
      <c r="A723" t="s">
        <v>1412</v>
      </c>
      <c r="B723" s="24">
        <v>1991</v>
      </c>
      <c r="C723" s="24">
        <v>6</v>
      </c>
      <c r="D723" s="24">
        <v>14</v>
      </c>
      <c r="E723" s="24">
        <v>15</v>
      </c>
      <c r="F723" s="24">
        <v>16</v>
      </c>
      <c r="G723" s="20">
        <f t="shared" si="145"/>
        <v>676912560</v>
      </c>
      <c r="J723" t="s">
        <v>656</v>
      </c>
      <c r="K723" s="22" t="str">
        <f t="shared" si="136"/>
        <v>point</v>
      </c>
      <c r="M723" s="23">
        <f t="shared" si="143"/>
        <v>54.416666666666664</v>
      </c>
      <c r="N723" s="23">
        <f t="shared" si="144"/>
        <v>1.7357319352274492</v>
      </c>
      <c r="O723" t="s">
        <v>462</v>
      </c>
      <c r="P723">
        <v>6</v>
      </c>
      <c r="Q723" t="s">
        <v>832</v>
      </c>
      <c r="R723" t="s">
        <v>841</v>
      </c>
      <c r="S723" t="s">
        <v>804</v>
      </c>
    </row>
    <row r="724" spans="1:19" x14ac:dyDescent="0.4">
      <c r="A724" t="s">
        <v>1412</v>
      </c>
      <c r="B724" s="24">
        <v>1991</v>
      </c>
      <c r="C724" s="24">
        <v>6</v>
      </c>
      <c r="D724" s="24">
        <v>14</v>
      </c>
      <c r="E724" s="24">
        <v>18</v>
      </c>
      <c r="F724" s="24">
        <v>53</v>
      </c>
      <c r="G724" s="20">
        <f t="shared" si="145"/>
        <v>676925580.00000036</v>
      </c>
      <c r="J724" t="s">
        <v>656</v>
      </c>
      <c r="K724" s="22" t="str">
        <f t="shared" si="136"/>
        <v>point</v>
      </c>
      <c r="M724" s="23">
        <f t="shared" si="143"/>
        <v>58.033333333432672</v>
      </c>
      <c r="N724" s="23">
        <f t="shared" si="144"/>
        <v>1.7636775163984122</v>
      </c>
      <c r="O724" t="s">
        <v>462</v>
      </c>
      <c r="P724">
        <v>6</v>
      </c>
      <c r="Q724" t="s">
        <v>843</v>
      </c>
      <c r="R724" t="s">
        <v>842</v>
      </c>
      <c r="S724" t="s">
        <v>804</v>
      </c>
    </row>
    <row r="725" spans="1:19" x14ac:dyDescent="0.4">
      <c r="A725" t="s">
        <v>1412</v>
      </c>
      <c r="B725" s="24">
        <v>1991</v>
      </c>
      <c r="C725" s="24">
        <v>6</v>
      </c>
      <c r="D725" s="24">
        <v>14</v>
      </c>
      <c r="E725" s="24">
        <v>23</v>
      </c>
      <c r="F725" s="24">
        <v>20</v>
      </c>
      <c r="G725" s="20">
        <f t="shared" si="145"/>
        <v>676941599.99999976</v>
      </c>
      <c r="J725" t="s">
        <v>656</v>
      </c>
      <c r="K725" s="22" t="str">
        <f t="shared" si="136"/>
        <v>point</v>
      </c>
      <c r="M725" s="23">
        <f t="shared" si="143"/>
        <v>62.483333333267105</v>
      </c>
      <c r="N725" s="23">
        <f t="shared" si="144"/>
        <v>1.7957641900374468</v>
      </c>
      <c r="O725" t="s">
        <v>462</v>
      </c>
      <c r="P725">
        <v>6</v>
      </c>
      <c r="Q725" t="s">
        <v>844</v>
      </c>
      <c r="S725" t="s">
        <v>804</v>
      </c>
    </row>
    <row r="726" spans="1:19" x14ac:dyDescent="0.4">
      <c r="A726" t="s">
        <v>1412</v>
      </c>
      <c r="B726" s="24">
        <v>1991</v>
      </c>
      <c r="C726" s="24">
        <v>6</v>
      </c>
      <c r="D726" s="24">
        <v>15</v>
      </c>
      <c r="E726" s="24">
        <v>1</v>
      </c>
      <c r="F726" s="24">
        <v>15</v>
      </c>
      <c r="G726" s="20">
        <f t="shared" si="145"/>
        <v>676948500.00000024</v>
      </c>
      <c r="J726" t="s">
        <v>656</v>
      </c>
      <c r="K726" s="22" t="str">
        <f t="shared" si="136"/>
        <v>point</v>
      </c>
      <c r="M726" s="23">
        <f t="shared" si="143"/>
        <v>64.400000000066228</v>
      </c>
      <c r="N726" s="23">
        <f t="shared" si="144"/>
        <v>1.8088858673602588</v>
      </c>
      <c r="O726" t="s">
        <v>462</v>
      </c>
      <c r="P726">
        <v>6</v>
      </c>
      <c r="Q726" t="s">
        <v>844</v>
      </c>
      <c r="S726" t="s">
        <v>804</v>
      </c>
    </row>
    <row r="727" spans="1:19" x14ac:dyDescent="0.4">
      <c r="A727" t="s">
        <v>1412</v>
      </c>
      <c r="B727" s="24">
        <v>1991</v>
      </c>
      <c r="C727" s="24">
        <v>6</v>
      </c>
      <c r="D727" s="24">
        <v>15</v>
      </c>
      <c r="E727" s="24">
        <v>5</v>
      </c>
      <c r="F727" s="24">
        <v>55</v>
      </c>
      <c r="G727" s="20">
        <f t="shared" si="145"/>
        <v>676965300.00000024</v>
      </c>
      <c r="J727" t="s">
        <v>656</v>
      </c>
      <c r="K727" s="22" t="str">
        <f t="shared" si="136"/>
        <v>point</v>
      </c>
      <c r="M727" s="23">
        <f t="shared" si="143"/>
        <v>69.0666666667329</v>
      </c>
      <c r="N727" s="23">
        <f t="shared" si="144"/>
        <v>1.8392684963539494</v>
      </c>
      <c r="O727" t="s">
        <v>462</v>
      </c>
      <c r="P727">
        <v>6</v>
      </c>
      <c r="Q727" t="s">
        <v>847</v>
      </c>
      <c r="S727" t="s">
        <v>804</v>
      </c>
    </row>
    <row r="728" spans="1:19" x14ac:dyDescent="0.4">
      <c r="A728" t="s">
        <v>1412</v>
      </c>
      <c r="B728" s="24">
        <v>1991</v>
      </c>
      <c r="C728" s="24">
        <v>6</v>
      </c>
      <c r="D728" s="24">
        <v>15</v>
      </c>
      <c r="E728" s="24">
        <v>8</v>
      </c>
      <c r="F728" s="24">
        <v>10</v>
      </c>
      <c r="G728" s="20">
        <f t="shared" si="145"/>
        <v>676973400.00000024</v>
      </c>
      <c r="J728" t="s">
        <v>656</v>
      </c>
      <c r="K728" s="22" t="str">
        <f t="shared" si="136"/>
        <v>point</v>
      </c>
      <c r="M728" s="23">
        <f t="shared" si="143"/>
        <v>71.3166666667329</v>
      </c>
      <c r="N728" s="23">
        <f t="shared" si="144"/>
        <v>1.8531910361006925</v>
      </c>
      <c r="O728" t="s">
        <v>462</v>
      </c>
      <c r="P728">
        <v>6</v>
      </c>
      <c r="Q728" t="s">
        <v>845</v>
      </c>
      <c r="S728" t="s">
        <v>804</v>
      </c>
    </row>
    <row r="729" spans="1:19" x14ac:dyDescent="0.4">
      <c r="A729" t="s">
        <v>1412</v>
      </c>
      <c r="B729" s="24">
        <v>1991</v>
      </c>
      <c r="C729" s="24">
        <v>6</v>
      </c>
      <c r="D729" s="24">
        <v>15</v>
      </c>
      <c r="E729" s="24">
        <v>10</v>
      </c>
      <c r="F729" s="24">
        <v>27</v>
      </c>
      <c r="G729" s="20">
        <f t="shared" si="145"/>
        <v>676981620</v>
      </c>
      <c r="J729" t="s">
        <v>656</v>
      </c>
      <c r="K729" s="22" t="str">
        <f t="shared" si="136"/>
        <v>point</v>
      </c>
      <c r="M729" s="23">
        <f t="shared" si="143"/>
        <v>73.599999999999994</v>
      </c>
      <c r="N729" s="23">
        <f t="shared" si="144"/>
        <v>1.8668778143374989</v>
      </c>
      <c r="O729" t="s">
        <v>462</v>
      </c>
      <c r="P729">
        <v>6</v>
      </c>
      <c r="Q729" t="s">
        <v>846</v>
      </c>
      <c r="S729" t="s">
        <v>804</v>
      </c>
    </row>
    <row r="730" spans="1:19" x14ac:dyDescent="0.4">
      <c r="A730" t="s">
        <v>1412</v>
      </c>
      <c r="B730" s="24">
        <v>1991</v>
      </c>
      <c r="C730" s="24">
        <v>6</v>
      </c>
      <c r="D730" s="24">
        <v>15</v>
      </c>
      <c r="E730" s="24">
        <v>11</v>
      </c>
      <c r="F730" s="24">
        <v>17</v>
      </c>
      <c r="G730" s="20">
        <f t="shared" si="145"/>
        <v>676984619.99999976</v>
      </c>
      <c r="J730" t="s">
        <v>656</v>
      </c>
      <c r="K730" s="22" t="str">
        <f t="shared" si="136"/>
        <v>point</v>
      </c>
      <c r="M730" s="23">
        <f t="shared" si="143"/>
        <v>74.4333333332671</v>
      </c>
      <c r="N730" s="23">
        <f t="shared" si="144"/>
        <v>1.871767468351389</v>
      </c>
      <c r="O730" t="s">
        <v>462</v>
      </c>
      <c r="P730">
        <v>6</v>
      </c>
      <c r="Q730" t="s">
        <v>845</v>
      </c>
      <c r="S730" t="s">
        <v>804</v>
      </c>
    </row>
    <row r="731" spans="1:19" x14ac:dyDescent="0.4">
      <c r="A731" t="s">
        <v>1412</v>
      </c>
      <c r="B731" s="24">
        <v>1991</v>
      </c>
      <c r="C731" s="24">
        <v>6</v>
      </c>
      <c r="D731" s="24">
        <v>15</v>
      </c>
      <c r="E731" s="24">
        <v>13</v>
      </c>
      <c r="F731" s="24">
        <v>42</v>
      </c>
      <c r="G731" s="20">
        <f t="shared" si="145"/>
        <v>676993319.99999988</v>
      </c>
      <c r="H731" s="20">
        <v>3</v>
      </c>
      <c r="J731" t="s">
        <v>656</v>
      </c>
      <c r="K731" s="22" t="str">
        <f t="shared" ref="K731:K743" si="146">IF(H731="",IF(I731="","point","middle"),"span")</f>
        <v>span</v>
      </c>
      <c r="M731" s="23">
        <f t="shared" si="143"/>
        <v>76.849999999966883</v>
      </c>
      <c r="N731" s="23">
        <f t="shared" si="144"/>
        <v>1.8856438718355768</v>
      </c>
      <c r="O731" t="s">
        <v>462</v>
      </c>
      <c r="P731">
        <v>7</v>
      </c>
      <c r="Q731" t="s">
        <v>862</v>
      </c>
      <c r="R731" t="s">
        <v>789</v>
      </c>
      <c r="S731" t="s">
        <v>855</v>
      </c>
    </row>
    <row r="732" spans="1:19" x14ac:dyDescent="0.4">
      <c r="A732" t="s">
        <v>1412</v>
      </c>
      <c r="B732" s="24">
        <v>1991</v>
      </c>
      <c r="C732" s="24">
        <v>6</v>
      </c>
      <c r="D732" s="24">
        <v>15</v>
      </c>
      <c r="E732" s="24">
        <v>15</v>
      </c>
      <c r="G732" s="20">
        <f t="shared" si="145"/>
        <v>676998000</v>
      </c>
      <c r="H732" s="20">
        <v>8</v>
      </c>
      <c r="J732" t="s">
        <v>656</v>
      </c>
      <c r="K732" s="22" t="str">
        <f t="shared" si="146"/>
        <v>span</v>
      </c>
      <c r="M732" s="23">
        <f t="shared" si="143"/>
        <v>78.150000000000006</v>
      </c>
      <c r="N732" s="23">
        <f t="shared" si="144"/>
        <v>1.8929289823552058</v>
      </c>
      <c r="O732" t="s">
        <v>462</v>
      </c>
      <c r="P732">
        <v>6</v>
      </c>
      <c r="Q732" t="s">
        <v>850</v>
      </c>
      <c r="S732" t="s">
        <v>851</v>
      </c>
    </row>
    <row r="733" spans="1:19" x14ac:dyDescent="0.4">
      <c r="A733" t="s">
        <v>1412</v>
      </c>
      <c r="B733" s="24">
        <v>1991</v>
      </c>
      <c r="C733" s="24">
        <v>6</v>
      </c>
      <c r="D733" s="24">
        <v>15</v>
      </c>
      <c r="E733" s="24">
        <v>15</v>
      </c>
      <c r="F733" s="24">
        <v>40</v>
      </c>
      <c r="G733" s="20">
        <f t="shared" si="145"/>
        <v>677000400.00000024</v>
      </c>
      <c r="J733" t="s">
        <v>656</v>
      </c>
      <c r="K733" s="22" t="str">
        <f t="shared" si="146"/>
        <v>point</v>
      </c>
      <c r="M733" s="23">
        <f t="shared" si="143"/>
        <v>78.8166666667329</v>
      </c>
      <c r="N733" s="23">
        <f t="shared" si="144"/>
        <v>1.8966180636321477</v>
      </c>
      <c r="O733" t="s">
        <v>462</v>
      </c>
      <c r="P733">
        <v>7</v>
      </c>
      <c r="Q733" t="s">
        <v>849</v>
      </c>
      <c r="S733" t="s">
        <v>854</v>
      </c>
    </row>
    <row r="734" spans="1:19" x14ac:dyDescent="0.4">
      <c r="A734" t="s">
        <v>1412</v>
      </c>
      <c r="B734" s="24">
        <v>1991</v>
      </c>
      <c r="C734" s="24">
        <v>6</v>
      </c>
      <c r="D734" s="24">
        <v>15</v>
      </c>
      <c r="E734" s="24">
        <v>16</v>
      </c>
      <c r="F734" s="24">
        <v>30</v>
      </c>
      <c r="G734" s="20">
        <f t="shared" si="145"/>
        <v>677003400</v>
      </c>
      <c r="J734" t="s">
        <v>656</v>
      </c>
      <c r="K734" s="22" t="str">
        <f t="shared" si="146"/>
        <v>point</v>
      </c>
      <c r="L734" s="20" t="s">
        <v>848</v>
      </c>
      <c r="M734" s="23">
        <f t="shared" si="143"/>
        <v>79.650000000000006</v>
      </c>
      <c r="N734" s="23">
        <f t="shared" si="144"/>
        <v>1.9011857801371503</v>
      </c>
      <c r="O734" t="s">
        <v>464</v>
      </c>
      <c r="P734">
        <v>7</v>
      </c>
      <c r="Q734" t="s">
        <v>859</v>
      </c>
      <c r="R734" t="s">
        <v>860</v>
      </c>
      <c r="S734" t="s">
        <v>855</v>
      </c>
    </row>
    <row r="735" spans="1:19" x14ac:dyDescent="0.4">
      <c r="A735" t="s">
        <v>1412</v>
      </c>
      <c r="B735" s="24">
        <v>1991</v>
      </c>
      <c r="C735" s="24">
        <v>6</v>
      </c>
      <c r="D735" s="24">
        <v>15</v>
      </c>
      <c r="E735" s="24">
        <v>17</v>
      </c>
      <c r="G735" s="20">
        <f t="shared" si="145"/>
        <v>677005200.00000024</v>
      </c>
      <c r="J735" t="s">
        <v>656</v>
      </c>
      <c r="K735" s="22" t="str">
        <f t="shared" si="146"/>
        <v>point</v>
      </c>
      <c r="M735" s="23">
        <f t="shared" si="143"/>
        <v>80.150000000066228</v>
      </c>
      <c r="N735" s="23">
        <f t="shared" si="144"/>
        <v>1.9039035266905224</v>
      </c>
      <c r="O735" t="s">
        <v>462</v>
      </c>
      <c r="P735">
        <v>7</v>
      </c>
      <c r="Q735" t="s">
        <v>856</v>
      </c>
      <c r="R735" t="s">
        <v>857</v>
      </c>
      <c r="S735" t="s">
        <v>855</v>
      </c>
    </row>
    <row r="736" spans="1:19" x14ac:dyDescent="0.4">
      <c r="A736" t="s">
        <v>1412</v>
      </c>
      <c r="B736" s="24">
        <v>1991</v>
      </c>
      <c r="C736" s="24">
        <v>6</v>
      </c>
      <c r="D736" s="24">
        <v>15</v>
      </c>
      <c r="E736" s="24">
        <v>17</v>
      </c>
      <c r="G736" s="20">
        <f t="shared" si="145"/>
        <v>677005200.00000024</v>
      </c>
      <c r="J736" t="s">
        <v>656</v>
      </c>
      <c r="K736" s="22" t="str">
        <f t="shared" si="146"/>
        <v>point</v>
      </c>
      <c r="M736" s="23">
        <f t="shared" si="143"/>
        <v>80.150000000066228</v>
      </c>
      <c r="N736" s="23">
        <f t="shared" si="144"/>
        <v>1.9039035266905224</v>
      </c>
      <c r="O736" t="s">
        <v>462</v>
      </c>
      <c r="P736">
        <v>7</v>
      </c>
      <c r="Q736" t="s">
        <v>852</v>
      </c>
      <c r="R736" t="s">
        <v>853</v>
      </c>
      <c r="S736" t="s">
        <v>851</v>
      </c>
    </row>
    <row r="737" spans="1:19" x14ac:dyDescent="0.4">
      <c r="A737" t="s">
        <v>1412</v>
      </c>
      <c r="B737" s="24">
        <v>1991</v>
      </c>
      <c r="C737" s="24">
        <v>6</v>
      </c>
      <c r="D737" s="24">
        <v>15</v>
      </c>
      <c r="E737" s="24">
        <v>22</v>
      </c>
      <c r="F737" s="24">
        <v>30</v>
      </c>
      <c r="G737" s="20">
        <f t="shared" si="145"/>
        <v>677025000</v>
      </c>
      <c r="J737" t="s">
        <v>656</v>
      </c>
      <c r="K737" s="22" t="str">
        <f t="shared" si="146"/>
        <v>point</v>
      </c>
      <c r="M737" s="23">
        <f t="shared" si="143"/>
        <v>85.65</v>
      </c>
      <c r="N737" s="23">
        <f t="shared" si="144"/>
        <v>1.9327273673015293</v>
      </c>
      <c r="O737" t="s">
        <v>462</v>
      </c>
      <c r="P737">
        <v>5</v>
      </c>
      <c r="Q737" t="s">
        <v>861</v>
      </c>
      <c r="R737" t="s">
        <v>858</v>
      </c>
      <c r="S737" t="s">
        <v>855</v>
      </c>
    </row>
    <row r="738" spans="1:19" x14ac:dyDescent="0.4">
      <c r="A738" t="s">
        <v>1412</v>
      </c>
      <c r="B738" s="24">
        <v>1991</v>
      </c>
      <c r="C738" s="24">
        <v>6</v>
      </c>
      <c r="D738" s="24">
        <v>16</v>
      </c>
      <c r="G738" s="20">
        <f t="shared" si="145"/>
        <v>677073600</v>
      </c>
      <c r="H738" s="20">
        <f>30*24</f>
        <v>720</v>
      </c>
      <c r="J738" t="s">
        <v>656</v>
      </c>
      <c r="K738" s="22" t="str">
        <f t="shared" si="146"/>
        <v>span</v>
      </c>
      <c r="M738" s="23">
        <f t="shared" si="143"/>
        <v>99.15</v>
      </c>
      <c r="N738" s="23">
        <f t="shared" si="144"/>
        <v>1.9962927185413215</v>
      </c>
      <c r="O738" t="s">
        <v>462</v>
      </c>
      <c r="P738">
        <v>3</v>
      </c>
      <c r="Q738" t="s">
        <v>863</v>
      </c>
      <c r="S738" t="s">
        <v>855</v>
      </c>
    </row>
    <row r="739" spans="1:19" x14ac:dyDescent="0.4">
      <c r="A739" t="s">
        <v>1412</v>
      </c>
      <c r="B739" s="24">
        <v>1991</v>
      </c>
      <c r="C739" s="24">
        <v>7</v>
      </c>
      <c r="D739" s="24">
        <v>5</v>
      </c>
      <c r="G739" s="20">
        <f t="shared" si="145"/>
        <v>678715200</v>
      </c>
      <c r="J739" t="s">
        <v>656</v>
      </c>
      <c r="K739" s="22" t="str">
        <f t="shared" si="146"/>
        <v>point</v>
      </c>
      <c r="M739" s="23">
        <f t="shared" si="143"/>
        <v>555.15</v>
      </c>
      <c r="N739" s="23">
        <f t="shared" si="144"/>
        <v>2.744410344150793</v>
      </c>
      <c r="O739" t="s">
        <v>462</v>
      </c>
      <c r="P739">
        <v>2</v>
      </c>
      <c r="Q739" t="s">
        <v>810</v>
      </c>
      <c r="S739" t="s">
        <v>814</v>
      </c>
    </row>
    <row r="740" spans="1:19" x14ac:dyDescent="0.4">
      <c r="A740" t="s">
        <v>1412</v>
      </c>
      <c r="B740" s="24">
        <v>1991</v>
      </c>
      <c r="C740" s="24">
        <v>7</v>
      </c>
      <c r="D740" s="24">
        <v>9</v>
      </c>
      <c r="G740" s="20">
        <f t="shared" si="145"/>
        <v>679060800</v>
      </c>
      <c r="J740" t="s">
        <v>656</v>
      </c>
      <c r="K740" s="22" t="str">
        <f t="shared" si="146"/>
        <v>point</v>
      </c>
      <c r="M740" s="23">
        <f t="shared" si="143"/>
        <v>651.15</v>
      </c>
      <c r="N740" s="23">
        <f t="shared" si="144"/>
        <v>2.813681044894381</v>
      </c>
      <c r="O740" t="s">
        <v>462</v>
      </c>
      <c r="P740">
        <v>2</v>
      </c>
      <c r="Q740" t="s">
        <v>811</v>
      </c>
      <c r="S740" t="s">
        <v>814</v>
      </c>
    </row>
    <row r="741" spans="1:19" x14ac:dyDescent="0.4">
      <c r="A741" t="s">
        <v>1412</v>
      </c>
      <c r="B741" s="24">
        <v>1991</v>
      </c>
      <c r="C741" s="24">
        <v>8</v>
      </c>
      <c r="D741" s="24">
        <v>7</v>
      </c>
      <c r="G741" s="20">
        <f t="shared" si="145"/>
        <v>681566400</v>
      </c>
      <c r="J741" t="s">
        <v>656</v>
      </c>
      <c r="K741" s="22" t="str">
        <f t="shared" si="146"/>
        <v>point</v>
      </c>
      <c r="M741" s="23">
        <f t="shared" si="143"/>
        <v>1347.15</v>
      </c>
      <c r="N741" s="23">
        <f t="shared" si="144"/>
        <v>3.1294159554448666</v>
      </c>
      <c r="O741" t="s">
        <v>462</v>
      </c>
      <c r="P741">
        <v>2</v>
      </c>
      <c r="Q741" t="s">
        <v>812</v>
      </c>
      <c r="S741" t="s">
        <v>814</v>
      </c>
    </row>
    <row r="742" spans="1:19" x14ac:dyDescent="0.4">
      <c r="A742" t="s">
        <v>1412</v>
      </c>
      <c r="B742" s="24">
        <v>1991</v>
      </c>
      <c r="C742" s="24">
        <v>10</v>
      </c>
      <c r="D742" s="24">
        <v>3</v>
      </c>
      <c r="G742" s="20">
        <f t="shared" si="145"/>
        <v>686491200</v>
      </c>
      <c r="J742" t="s">
        <v>656</v>
      </c>
      <c r="K742" s="22" t="str">
        <f t="shared" si="146"/>
        <v>point</v>
      </c>
      <c r="M742" s="23">
        <f t="shared" si="143"/>
        <v>2715.15</v>
      </c>
      <c r="N742" s="23">
        <f t="shared" si="144"/>
        <v>3.4337938274323387</v>
      </c>
      <c r="O742" t="s">
        <v>462</v>
      </c>
      <c r="P742">
        <v>1</v>
      </c>
      <c r="Q742" t="s">
        <v>813</v>
      </c>
      <c r="S742" t="s">
        <v>814</v>
      </c>
    </row>
    <row r="743" spans="1:19" x14ac:dyDescent="0.4">
      <c r="A743" t="s">
        <v>1412</v>
      </c>
      <c r="B743" s="24">
        <v>1992</v>
      </c>
      <c r="C743" s="24">
        <v>7</v>
      </c>
      <c r="D743" s="24">
        <v>9</v>
      </c>
      <c r="G743" s="20">
        <f t="shared" ref="G743:G814" si="147">(IF(C743="",DATE(B743,7,1),IF(D743="",DATE(B743,C743,16), IF(E743="",DATE(B743,C743,D743)+TIME(12,0,0), IF(F743="", DATE(B743,C743,D743)+TIME(E743,0,0),DATE(B743,C743,D743)+TIME(E743,F743,0))))) - 25569)*86400</f>
        <v>710683200</v>
      </c>
      <c r="H743" s="20">
        <f>90*24</f>
        <v>2160</v>
      </c>
      <c r="J743" t="s">
        <v>656</v>
      </c>
      <c r="K743" s="22" t="str">
        <f t="shared" si="146"/>
        <v>span</v>
      </c>
      <c r="M743" s="23">
        <f t="shared" si="143"/>
        <v>9435.15</v>
      </c>
      <c r="N743" s="23">
        <f t="shared" si="144"/>
        <v>3.9747488089688305</v>
      </c>
      <c r="O743" t="s">
        <v>462</v>
      </c>
      <c r="P743">
        <v>3</v>
      </c>
      <c r="Q743" t="s">
        <v>864</v>
      </c>
      <c r="S743" t="s">
        <v>855</v>
      </c>
    </row>
    <row r="744" spans="1:19" x14ac:dyDescent="0.4">
      <c r="A744" t="s">
        <v>1412</v>
      </c>
      <c r="B744" s="24">
        <v>1993</v>
      </c>
      <c r="C744" s="24">
        <v>2</v>
      </c>
      <c r="D744" s="24">
        <v>16</v>
      </c>
      <c r="G744" s="20">
        <f t="shared" si="147"/>
        <v>729864000</v>
      </c>
      <c r="H744" s="20">
        <f>5*30*24</f>
        <v>3600</v>
      </c>
      <c r="J744" t="s">
        <v>656</v>
      </c>
      <c r="K744" s="22" t="str">
        <f t="shared" ref="K744:K768" si="148">IF(H744="",IF(I744="","point","middle"),"span")</f>
        <v>span</v>
      </c>
      <c r="M744" s="23">
        <f t="shared" si="143"/>
        <v>14763.15</v>
      </c>
      <c r="N744" s="23">
        <f t="shared" si="144"/>
        <v>4.1691790323962508</v>
      </c>
      <c r="O744" t="s">
        <v>462</v>
      </c>
      <c r="P744">
        <v>3</v>
      </c>
      <c r="Q744" t="s">
        <v>918</v>
      </c>
      <c r="S744" t="s">
        <v>867</v>
      </c>
    </row>
    <row r="745" spans="1:19" x14ac:dyDescent="0.4">
      <c r="A745" t="s">
        <v>1413</v>
      </c>
      <c r="B745" s="24">
        <v>1663</v>
      </c>
      <c r="C745" s="24">
        <v>8</v>
      </c>
      <c r="D745" s="24">
        <v>13</v>
      </c>
      <c r="G745" s="20">
        <f t="shared" si="147"/>
        <v>50289595200</v>
      </c>
      <c r="H745" s="20">
        <v>72</v>
      </c>
      <c r="J745" t="s">
        <v>656</v>
      </c>
      <c r="K745" s="22" t="str">
        <f t="shared" ref="K745:K764" si="149">IF(H745="",IF(I745="","point","middle"),"span")</f>
        <v>span</v>
      </c>
      <c r="M745" s="23">
        <f t="shared" ref="M745:M764" si="150">(G745-239793000)/3600</f>
        <v>13902722.833333334</v>
      </c>
      <c r="N745" s="23">
        <f t="shared" ref="N745:N764" si="151">IF(M745=0,0, IF(M745&gt;0,LOG10(M745), -LOG10(-1*M745)))</f>
        <v>7.1430998646920409</v>
      </c>
      <c r="O745" t="s">
        <v>999</v>
      </c>
      <c r="P745">
        <v>2</v>
      </c>
      <c r="Q745" t="s">
        <v>1007</v>
      </c>
      <c r="S745" t="s">
        <v>1001</v>
      </c>
    </row>
    <row r="746" spans="1:19" x14ac:dyDescent="0.4">
      <c r="A746" t="s">
        <v>1413</v>
      </c>
      <c r="B746" s="24">
        <v>1663</v>
      </c>
      <c r="C746" s="24">
        <v>8</v>
      </c>
      <c r="D746" s="24">
        <v>16</v>
      </c>
      <c r="G746" s="20">
        <f t="shared" si="147"/>
        <v>50289854400</v>
      </c>
      <c r="J746" t="s">
        <v>656</v>
      </c>
      <c r="K746" s="22" t="str">
        <f t="shared" si="149"/>
        <v>point</v>
      </c>
      <c r="M746" s="23">
        <f t="shared" si="150"/>
        <v>13902794.833333334</v>
      </c>
      <c r="N746" s="23">
        <f t="shared" si="151"/>
        <v>7.143102113828566</v>
      </c>
      <c r="O746" t="s">
        <v>462</v>
      </c>
      <c r="P746">
        <v>6</v>
      </c>
      <c r="Q746" t="s">
        <v>1025</v>
      </c>
      <c r="S746" t="s">
        <v>1001</v>
      </c>
    </row>
    <row r="747" spans="1:19" x14ac:dyDescent="0.4">
      <c r="A747" t="s">
        <v>1413</v>
      </c>
      <c r="B747" s="24">
        <v>1663</v>
      </c>
      <c r="C747" s="24">
        <v>8</v>
      </c>
      <c r="D747" s="24">
        <v>16</v>
      </c>
      <c r="G747" s="20">
        <f t="shared" si="147"/>
        <v>50289854400</v>
      </c>
      <c r="H747" s="20">
        <f>15*24</f>
        <v>360</v>
      </c>
      <c r="J747" t="s">
        <v>656</v>
      </c>
      <c r="K747" s="22" t="str">
        <f t="shared" si="149"/>
        <v>span</v>
      </c>
      <c r="M747" s="23">
        <f t="shared" si="150"/>
        <v>13902794.833333334</v>
      </c>
      <c r="N747" s="23">
        <f t="shared" si="151"/>
        <v>7.143102113828566</v>
      </c>
      <c r="O747" t="s">
        <v>462</v>
      </c>
      <c r="P747">
        <v>4</v>
      </c>
      <c r="Q747" t="s">
        <v>1026</v>
      </c>
      <c r="S747" t="s">
        <v>1001</v>
      </c>
    </row>
    <row r="748" spans="1:19" x14ac:dyDescent="0.4">
      <c r="A748" t="s">
        <v>1413</v>
      </c>
      <c r="B748" s="24">
        <v>1663</v>
      </c>
      <c r="G748" s="20">
        <f t="shared" si="147"/>
        <v>50285836800</v>
      </c>
      <c r="I748" s="20">
        <f>106*365*24</f>
        <v>928560</v>
      </c>
      <c r="J748" t="s">
        <v>656</v>
      </c>
      <c r="K748" s="22" t="str">
        <f t="shared" si="149"/>
        <v>middle</v>
      </c>
      <c r="M748" s="23">
        <f t="shared" si="150"/>
        <v>13901678.833333334</v>
      </c>
      <c r="N748" s="23">
        <f t="shared" si="151"/>
        <v>7.1430672509034219</v>
      </c>
      <c r="O748" t="s">
        <v>462</v>
      </c>
      <c r="P748">
        <v>5</v>
      </c>
      <c r="Q748" t="s">
        <v>1024</v>
      </c>
      <c r="S748" t="s">
        <v>1001</v>
      </c>
    </row>
    <row r="749" spans="1:19" x14ac:dyDescent="0.4">
      <c r="A749" t="s">
        <v>1413</v>
      </c>
      <c r="B749" s="24">
        <v>1769</v>
      </c>
      <c r="C749" s="24">
        <v>1</v>
      </c>
      <c r="D749" s="24">
        <v>23</v>
      </c>
      <c r="G749" s="20">
        <f t="shared" si="147"/>
        <v>53617291200</v>
      </c>
      <c r="J749" t="s">
        <v>656</v>
      </c>
      <c r="K749" s="22" t="str">
        <f t="shared" si="149"/>
        <v>point</v>
      </c>
      <c r="M749" s="23">
        <f t="shared" si="150"/>
        <v>14827082.833333334</v>
      </c>
      <c r="N749" s="23">
        <f t="shared" si="151"/>
        <v>7.1710557138060276</v>
      </c>
      <c r="O749" t="s">
        <v>462</v>
      </c>
      <c r="P749">
        <v>5</v>
      </c>
      <c r="Q749" t="s">
        <v>1023</v>
      </c>
      <c r="S749" t="s">
        <v>1001</v>
      </c>
    </row>
    <row r="750" spans="1:19" x14ac:dyDescent="0.4">
      <c r="A750" t="s">
        <v>1413</v>
      </c>
      <c r="B750" s="24">
        <v>1822</v>
      </c>
      <c r="C750" s="24">
        <v>3</v>
      </c>
      <c r="D750" s="24">
        <v>9</v>
      </c>
      <c r="G750" s="20">
        <f t="shared" si="147"/>
        <v>55293624000</v>
      </c>
      <c r="H750" s="20">
        <v>72</v>
      </c>
      <c r="J750" t="s">
        <v>656</v>
      </c>
      <c r="K750" s="22" t="str">
        <f t="shared" si="149"/>
        <v>span</v>
      </c>
      <c r="M750" s="23">
        <f t="shared" si="150"/>
        <v>15292730.833333334</v>
      </c>
      <c r="N750" s="23">
        <f t="shared" si="151"/>
        <v>7.1844850445980759</v>
      </c>
      <c r="O750" t="s">
        <v>999</v>
      </c>
      <c r="P750">
        <v>2</v>
      </c>
      <c r="Q750" t="s">
        <v>1020</v>
      </c>
      <c r="S750" t="s">
        <v>1001</v>
      </c>
    </row>
    <row r="751" spans="1:19" x14ac:dyDescent="0.4">
      <c r="A751" t="s">
        <v>1413</v>
      </c>
      <c r="B751" s="24">
        <v>1822</v>
      </c>
      <c r="C751" s="24">
        <v>3</v>
      </c>
      <c r="D751" s="24">
        <v>12</v>
      </c>
      <c r="G751" s="20">
        <f t="shared" si="147"/>
        <v>55293883200</v>
      </c>
      <c r="J751" t="s">
        <v>656</v>
      </c>
      <c r="K751" s="22" t="str">
        <f t="shared" si="149"/>
        <v>point</v>
      </c>
      <c r="M751" s="23">
        <f t="shared" si="150"/>
        <v>15292802.833333334</v>
      </c>
      <c r="N751" s="23">
        <f t="shared" si="151"/>
        <v>7.1844870893034614</v>
      </c>
      <c r="O751" t="s">
        <v>462</v>
      </c>
      <c r="P751">
        <v>5</v>
      </c>
      <c r="Q751" t="s">
        <v>1019</v>
      </c>
      <c r="S751" t="s">
        <v>1001</v>
      </c>
    </row>
    <row r="752" spans="1:19" x14ac:dyDescent="0.4">
      <c r="A752" t="s">
        <v>1413</v>
      </c>
      <c r="B752" s="24">
        <v>1822</v>
      </c>
      <c r="C752" s="24">
        <v>3</v>
      </c>
      <c r="D752" s="24">
        <v>23</v>
      </c>
      <c r="G752" s="20">
        <f t="shared" si="147"/>
        <v>55294833600</v>
      </c>
      <c r="J752" t="s">
        <v>656</v>
      </c>
      <c r="K752" s="22" t="str">
        <f t="shared" si="149"/>
        <v>point</v>
      </c>
      <c r="M752" s="23">
        <f t="shared" si="150"/>
        <v>15293066.833333334</v>
      </c>
      <c r="N752" s="23">
        <f t="shared" si="151"/>
        <v>7.1844945864741794</v>
      </c>
      <c r="O752" t="s">
        <v>462</v>
      </c>
      <c r="P752">
        <v>5</v>
      </c>
      <c r="Q752" t="s">
        <v>1021</v>
      </c>
      <c r="S752" t="s">
        <v>1001</v>
      </c>
    </row>
    <row r="753" spans="1:19" x14ac:dyDescent="0.4">
      <c r="A753" t="s">
        <v>1413</v>
      </c>
      <c r="B753" s="24">
        <v>1822</v>
      </c>
      <c r="C753" s="24">
        <v>3</v>
      </c>
      <c r="D753" s="24">
        <v>23</v>
      </c>
      <c r="G753" s="20">
        <f t="shared" si="147"/>
        <v>55294833600</v>
      </c>
      <c r="H753" s="20">
        <f>4*30*24</f>
        <v>2880</v>
      </c>
      <c r="J753" t="s">
        <v>656</v>
      </c>
      <c r="K753" s="22" t="str">
        <f t="shared" si="149"/>
        <v>span</v>
      </c>
      <c r="M753" s="23">
        <f t="shared" si="150"/>
        <v>15293066.833333334</v>
      </c>
      <c r="N753" s="23">
        <f t="shared" si="151"/>
        <v>7.1844945864741794</v>
      </c>
      <c r="O753" t="s">
        <v>462</v>
      </c>
      <c r="P753">
        <v>3</v>
      </c>
      <c r="Q753" t="s">
        <v>1022</v>
      </c>
      <c r="S753" t="s">
        <v>1001</v>
      </c>
    </row>
    <row r="754" spans="1:19" x14ac:dyDescent="0.4">
      <c r="A754" t="s">
        <v>1413</v>
      </c>
      <c r="B754" s="24">
        <v>1853</v>
      </c>
      <c r="C754" s="24">
        <v>4</v>
      </c>
      <c r="D754" s="24">
        <v>12</v>
      </c>
      <c r="G754" s="20">
        <f t="shared" si="147"/>
        <v>56274868800</v>
      </c>
      <c r="H754" s="20">
        <f>10*24</f>
        <v>240</v>
      </c>
      <c r="J754" t="s">
        <v>656</v>
      </c>
      <c r="K754" s="22" t="str">
        <f t="shared" si="149"/>
        <v>span</v>
      </c>
      <c r="M754" s="23">
        <f t="shared" si="150"/>
        <v>15565298.833333334</v>
      </c>
      <c r="N754" s="23">
        <f t="shared" si="151"/>
        <v>7.1921574629833174</v>
      </c>
      <c r="O754" t="s">
        <v>999</v>
      </c>
      <c r="P754">
        <v>2</v>
      </c>
      <c r="Q754" t="s">
        <v>1007</v>
      </c>
      <c r="S754" t="s">
        <v>1001</v>
      </c>
    </row>
    <row r="755" spans="1:19" x14ac:dyDescent="0.4">
      <c r="A755" t="s">
        <v>1413</v>
      </c>
      <c r="B755" s="24">
        <v>1853</v>
      </c>
      <c r="C755" s="24">
        <v>4</v>
      </c>
      <c r="D755" s="24">
        <v>22</v>
      </c>
      <c r="G755" s="20">
        <f t="shared" si="147"/>
        <v>56275732800</v>
      </c>
      <c r="J755" t="s">
        <v>656</v>
      </c>
      <c r="K755" s="22" t="str">
        <f t="shared" si="149"/>
        <v>point</v>
      </c>
      <c r="M755" s="23">
        <f t="shared" si="150"/>
        <v>15565538.833333334</v>
      </c>
      <c r="N755" s="23">
        <f t="shared" si="151"/>
        <v>7.1921641592808454</v>
      </c>
      <c r="O755" t="s">
        <v>462</v>
      </c>
      <c r="P755">
        <v>5</v>
      </c>
      <c r="Q755" t="s">
        <v>1019</v>
      </c>
      <c r="S755" t="s">
        <v>1001</v>
      </c>
    </row>
    <row r="756" spans="1:19" x14ac:dyDescent="0.4">
      <c r="A756" t="s">
        <v>1413</v>
      </c>
      <c r="B756" s="24">
        <v>1853</v>
      </c>
      <c r="C756" s="24">
        <v>4</v>
      </c>
      <c r="D756" s="24">
        <v>22</v>
      </c>
      <c r="G756" s="20">
        <f t="shared" si="147"/>
        <v>56275732800</v>
      </c>
      <c r="H756" s="20">
        <f>12*24</f>
        <v>288</v>
      </c>
      <c r="J756" t="s">
        <v>656</v>
      </c>
      <c r="K756" s="22" t="str">
        <f t="shared" si="149"/>
        <v>span</v>
      </c>
      <c r="M756" s="23">
        <f t="shared" si="150"/>
        <v>15565538.833333334</v>
      </c>
      <c r="N756" s="23">
        <f t="shared" si="151"/>
        <v>7.1921641592808454</v>
      </c>
      <c r="O756" t="s">
        <v>462</v>
      </c>
      <c r="P756">
        <v>4</v>
      </c>
      <c r="S756" t="s">
        <v>1001</v>
      </c>
    </row>
    <row r="757" spans="1:19" x14ac:dyDescent="0.4">
      <c r="A757" t="s">
        <v>1413</v>
      </c>
      <c r="B757" s="24">
        <v>1853</v>
      </c>
      <c r="C757" s="24">
        <v>5</v>
      </c>
      <c r="D757" s="24">
        <v>5</v>
      </c>
      <c r="G757" s="20">
        <f t="shared" si="147"/>
        <v>56276856000</v>
      </c>
      <c r="H757" s="20">
        <f>365*24</f>
        <v>8760</v>
      </c>
      <c r="J757" t="s">
        <v>656</v>
      </c>
      <c r="K757" s="22" t="str">
        <f t="shared" si="149"/>
        <v>span</v>
      </c>
      <c r="M757" s="23">
        <f t="shared" si="150"/>
        <v>15565850.833333334</v>
      </c>
      <c r="N757" s="23">
        <f t="shared" si="151"/>
        <v>7.1921728643132781</v>
      </c>
      <c r="O757" t="s">
        <v>462</v>
      </c>
      <c r="P757">
        <v>3</v>
      </c>
      <c r="Q757" t="s">
        <v>1018</v>
      </c>
      <c r="S757" t="s">
        <v>1001</v>
      </c>
    </row>
    <row r="758" spans="1:19" x14ac:dyDescent="0.4">
      <c r="A758" t="s">
        <v>1413</v>
      </c>
      <c r="B758" s="24">
        <v>1903</v>
      </c>
      <c r="C758" s="24">
        <v>5</v>
      </c>
      <c r="G758" s="20">
        <f t="shared" si="147"/>
        <v>-2102716800</v>
      </c>
      <c r="H758" s="20">
        <f>30*24</f>
        <v>720</v>
      </c>
      <c r="J758" t="s">
        <v>656</v>
      </c>
      <c r="K758" s="22" t="str">
        <f t="shared" si="149"/>
        <v>span</v>
      </c>
      <c r="M758" s="23">
        <f t="shared" si="150"/>
        <v>-650697.16666666663</v>
      </c>
      <c r="N758" s="23">
        <f t="shared" si="151"/>
        <v>-5.8133789156877347</v>
      </c>
      <c r="O758" t="s">
        <v>999</v>
      </c>
      <c r="P758">
        <v>2</v>
      </c>
      <c r="Q758" t="s">
        <v>1017</v>
      </c>
      <c r="S758" t="s">
        <v>1001</v>
      </c>
    </row>
    <row r="759" spans="1:19" x14ac:dyDescent="0.4">
      <c r="A759" t="s">
        <v>1413</v>
      </c>
      <c r="B759" s="24">
        <v>1910</v>
      </c>
      <c r="C759" s="24">
        <v>7</v>
      </c>
      <c r="D759" s="24">
        <v>21</v>
      </c>
      <c r="G759" s="20">
        <f t="shared" si="147"/>
        <v>-1876046400</v>
      </c>
      <c r="H759" s="20">
        <v>96</v>
      </c>
      <c r="J759" t="s">
        <v>656</v>
      </c>
      <c r="K759" s="22" t="str">
        <f t="shared" si="149"/>
        <v>span</v>
      </c>
      <c r="M759" s="23">
        <f t="shared" si="150"/>
        <v>-587733.16666666663</v>
      </c>
      <c r="N759" s="23">
        <f t="shared" si="151"/>
        <v>-5.769180199296815</v>
      </c>
      <c r="O759" t="s">
        <v>999</v>
      </c>
      <c r="P759">
        <v>2</v>
      </c>
      <c r="Q759" t="s">
        <v>1007</v>
      </c>
      <c r="S759" t="s">
        <v>1001</v>
      </c>
    </row>
    <row r="760" spans="1:19" x14ac:dyDescent="0.4">
      <c r="A760" t="s">
        <v>1413</v>
      </c>
      <c r="B760" s="24">
        <v>1910</v>
      </c>
      <c r="C760" s="24">
        <v>7</v>
      </c>
      <c r="D760" s="24">
        <v>25</v>
      </c>
      <c r="G760" s="20">
        <f t="shared" si="147"/>
        <v>-1875700800</v>
      </c>
      <c r="H760" s="20">
        <f>4*30*24</f>
        <v>2880</v>
      </c>
      <c r="J760" t="s">
        <v>656</v>
      </c>
      <c r="K760" s="22" t="str">
        <f t="shared" si="149"/>
        <v>span</v>
      </c>
      <c r="M760" s="23">
        <f t="shared" si="150"/>
        <v>-587637.16666666663</v>
      </c>
      <c r="N760" s="23">
        <f t="shared" si="151"/>
        <v>-5.7691092560899415</v>
      </c>
      <c r="O760" t="s">
        <v>462</v>
      </c>
      <c r="P760">
        <v>4</v>
      </c>
      <c r="Q760" t="s">
        <v>1027</v>
      </c>
      <c r="S760" t="s">
        <v>1001</v>
      </c>
    </row>
    <row r="761" spans="1:19" x14ac:dyDescent="0.4">
      <c r="A761" t="s">
        <v>1413</v>
      </c>
      <c r="B761" s="24">
        <v>1943</v>
      </c>
      <c r="C761" s="24">
        <v>12</v>
      </c>
      <c r="D761" s="24">
        <v>28</v>
      </c>
      <c r="G761" s="20">
        <f>(IF(C761="",DATE(B761,7,1),IF(D761="",DATE(B761,C761,16), IF(E761="",DATE(B761,C761,D761)+TIME(12,0,0), IF(F761="", DATE(B761,C761,D761)+TIME(E761,0,0),DATE(B761,C761,D761)+TIME(E761,F761,0))))) - 25569)*86400</f>
        <v>-820843200</v>
      </c>
      <c r="H761" s="20">
        <f>6*30*24</f>
        <v>4320</v>
      </c>
      <c r="J761" t="s">
        <v>656</v>
      </c>
      <c r="K761" s="22" t="str">
        <f t="shared" si="149"/>
        <v>span</v>
      </c>
      <c r="M761" s="23">
        <f t="shared" si="150"/>
        <v>-294621.16666666669</v>
      </c>
      <c r="N761" s="23">
        <f t="shared" si="151"/>
        <v>-5.4692639449380849</v>
      </c>
      <c r="O761" t="s">
        <v>999</v>
      </c>
      <c r="P761">
        <v>2</v>
      </c>
      <c r="Q761" t="s">
        <v>1013</v>
      </c>
      <c r="S761" t="s">
        <v>1001</v>
      </c>
    </row>
    <row r="762" spans="1:19" x14ac:dyDescent="0.4">
      <c r="A762" t="s">
        <v>1413</v>
      </c>
      <c r="B762" s="24">
        <v>1944</v>
      </c>
      <c r="C762" s="24">
        <v>4</v>
      </c>
      <c r="G762" s="20">
        <f>(IF(C762="",DATE(B762,7,1),IF(D762="",DATE(B762,C762,16), IF(E762="",DATE(B762,C762,D762)+TIME(12,0,0), IF(F762="", DATE(B762,C762,D762)+TIME(E762,0,0),DATE(B762,C762,D762)+TIME(E762,F762,0))))) - 25569)*86400</f>
        <v>-811382400</v>
      </c>
      <c r="J762" t="s">
        <v>656</v>
      </c>
      <c r="K762" s="22" t="str">
        <f t="shared" si="149"/>
        <v>point</v>
      </c>
      <c r="M762" s="23">
        <f t="shared" si="150"/>
        <v>-291993.16666666669</v>
      </c>
      <c r="N762" s="23">
        <f t="shared" si="151"/>
        <v>-5.4653726880453881</v>
      </c>
      <c r="O762" t="s">
        <v>462</v>
      </c>
      <c r="P762">
        <v>2</v>
      </c>
      <c r="Q762" t="s">
        <v>1014</v>
      </c>
      <c r="S762" t="s">
        <v>1001</v>
      </c>
    </row>
    <row r="763" spans="1:19" x14ac:dyDescent="0.4">
      <c r="A763" t="s">
        <v>1413</v>
      </c>
      <c r="B763" s="24">
        <v>1944</v>
      </c>
      <c r="C763" s="24">
        <v>6</v>
      </c>
      <c r="D763" s="24">
        <v>23</v>
      </c>
      <c r="G763" s="20">
        <f>(IF(C763="",DATE(B763,7,1),IF(D763="",DATE(B763,C763,16), IF(E763="",DATE(B763,C763,D763)+TIME(12,0,0), IF(F763="", DATE(B763,C763,D763)+TIME(E763,0,0),DATE(B763,C763,D763)+TIME(E763,F763,0))))) - 25569)*86400</f>
        <v>-805464000</v>
      </c>
      <c r="H763" s="20">
        <f>128*24</f>
        <v>3072</v>
      </c>
      <c r="J763" t="s">
        <v>656</v>
      </c>
      <c r="K763" s="22" t="str">
        <f t="shared" si="149"/>
        <v>span</v>
      </c>
      <c r="M763" s="23">
        <f t="shared" si="150"/>
        <v>-290349.16666666669</v>
      </c>
      <c r="N763" s="23">
        <f t="shared" si="151"/>
        <v>-5.4629205838992636</v>
      </c>
      <c r="O763" t="s">
        <v>462</v>
      </c>
      <c r="P763">
        <v>4</v>
      </c>
      <c r="Q763" t="s">
        <v>1015</v>
      </c>
      <c r="S763" t="s">
        <v>1001</v>
      </c>
    </row>
    <row r="764" spans="1:19" x14ac:dyDescent="0.4">
      <c r="A764" t="s">
        <v>1413</v>
      </c>
      <c r="B764" s="24">
        <v>1944</v>
      </c>
      <c r="C764" s="24">
        <v>11</v>
      </c>
      <c r="G764" s="20">
        <f>(IF(C764="",DATE(B764,7,1),IF(D764="",DATE(B764,C764,16), IF(E764="",DATE(B764,C764,D764)+TIME(12,0,0), IF(F764="", DATE(B764,C764,D764)+TIME(E764,0,0),DATE(B764,C764,D764)+TIME(E764,F764,0))))) - 25569)*86400</f>
        <v>-792892800</v>
      </c>
      <c r="H764" s="20">
        <f>10*30*24</f>
        <v>7200</v>
      </c>
      <c r="J764" t="s">
        <v>656</v>
      </c>
      <c r="K764" s="22" t="str">
        <f t="shared" si="149"/>
        <v>span</v>
      </c>
      <c r="M764" s="23">
        <f t="shared" si="150"/>
        <v>-286857.16666666669</v>
      </c>
      <c r="N764" s="23">
        <f t="shared" si="151"/>
        <v>-5.4576657045057422</v>
      </c>
      <c r="O764" t="s">
        <v>462</v>
      </c>
      <c r="P764">
        <v>3</v>
      </c>
      <c r="Q764" t="s">
        <v>1016</v>
      </c>
      <c r="S764" t="s">
        <v>1001</v>
      </c>
    </row>
    <row r="765" spans="1:19" x14ac:dyDescent="0.4">
      <c r="A765" t="s">
        <v>1413</v>
      </c>
      <c r="B765" s="24">
        <v>1977</v>
      </c>
      <c r="C765" s="24">
        <v>8</v>
      </c>
      <c r="D765" s="24">
        <v>6</v>
      </c>
      <c r="E765" s="24">
        <v>3</v>
      </c>
      <c r="F765" s="24">
        <v>30</v>
      </c>
      <c r="G765" s="20">
        <f t="shared" si="147"/>
        <v>239686199.99999988</v>
      </c>
      <c r="H765" s="20">
        <v>30</v>
      </c>
      <c r="J765" t="s">
        <v>656</v>
      </c>
      <c r="K765" s="22" t="str">
        <f t="shared" si="148"/>
        <v>span</v>
      </c>
      <c r="M765" s="23">
        <f>(G765-239793000)/3600</f>
        <v>-29.666666666699779</v>
      </c>
      <c r="N765" s="23">
        <f t="shared" ref="N765:N806" si="152">IF(M765=0,0, IF(M765&gt;0,LOG10(M765), -LOG10(-1*M765)))</f>
        <v>-1.4722687519257351</v>
      </c>
      <c r="O765" t="s">
        <v>999</v>
      </c>
      <c r="P765">
        <v>2</v>
      </c>
      <c r="Q765" t="s">
        <v>1000</v>
      </c>
      <c r="S765" t="s">
        <v>1001</v>
      </c>
    </row>
    <row r="766" spans="1:19" x14ac:dyDescent="0.4">
      <c r="A766" t="s">
        <v>1413</v>
      </c>
      <c r="B766" s="24">
        <v>1977</v>
      </c>
      <c r="C766" s="24">
        <v>8</v>
      </c>
      <c r="D766" s="24">
        <v>7</v>
      </c>
      <c r="E766" s="24">
        <v>9</v>
      </c>
      <c r="F766" s="24">
        <v>10</v>
      </c>
      <c r="G766" s="20">
        <f t="shared" si="147"/>
        <v>239793000.00000006</v>
      </c>
      <c r="H766" s="20">
        <v>2</v>
      </c>
      <c r="J766" t="s">
        <v>656</v>
      </c>
      <c r="K766" s="22" t="str">
        <f t="shared" si="148"/>
        <v>span</v>
      </c>
      <c r="L766" s="20" t="s">
        <v>997</v>
      </c>
      <c r="M766" s="23">
        <f>(G766-239793000)/3600</f>
        <v>1.655684577094184E-11</v>
      </c>
      <c r="N766" s="23">
        <f t="shared" si="152"/>
        <v>-10.781022396702836</v>
      </c>
      <c r="O766" t="s">
        <v>462</v>
      </c>
      <c r="P766">
        <v>3</v>
      </c>
      <c r="Q766" t="s">
        <v>1202</v>
      </c>
      <c r="S766" t="s">
        <v>1214</v>
      </c>
    </row>
    <row r="767" spans="1:19" x14ac:dyDescent="0.4">
      <c r="A767" t="s">
        <v>1413</v>
      </c>
      <c r="B767" s="24">
        <v>1977</v>
      </c>
      <c r="C767" s="24">
        <v>8</v>
      </c>
      <c r="D767" s="24">
        <v>7</v>
      </c>
      <c r="E767" s="24">
        <v>9</v>
      </c>
      <c r="F767" s="24">
        <v>12</v>
      </c>
      <c r="G767" s="20">
        <f t="shared" si="147"/>
        <v>239793120.00000015</v>
      </c>
      <c r="J767" t="s">
        <v>656</v>
      </c>
      <c r="K767" s="22" t="str">
        <f t="shared" si="148"/>
        <v>point</v>
      </c>
      <c r="M767" s="23">
        <f>(G767-239793000)/3600</f>
        <v>3.3333333374725445E-2</v>
      </c>
      <c r="N767" s="23">
        <f t="shared" ref="N767:N768" si="153">IF(M767=0,0, IF(M767&gt;0,LOG10(M767), -LOG10(-1*M767)))</f>
        <v>-1.4771212541803715</v>
      </c>
      <c r="O767" t="s">
        <v>462</v>
      </c>
      <c r="P767">
        <v>4</v>
      </c>
      <c r="Q767" t="s">
        <v>1203</v>
      </c>
      <c r="S767" t="s">
        <v>1214</v>
      </c>
    </row>
    <row r="768" spans="1:19" x14ac:dyDescent="0.4">
      <c r="A768" t="s">
        <v>1413</v>
      </c>
      <c r="B768" s="24">
        <v>1977</v>
      </c>
      <c r="C768" s="24">
        <v>8</v>
      </c>
      <c r="D768" s="24">
        <v>7</v>
      </c>
      <c r="E768" s="24">
        <v>9</v>
      </c>
      <c r="F768" s="24">
        <v>30</v>
      </c>
      <c r="G768" s="20">
        <f t="shared" si="147"/>
        <v>239794199.99999988</v>
      </c>
      <c r="J768" t="s">
        <v>656</v>
      </c>
      <c r="K768" s="22" t="str">
        <f t="shared" si="148"/>
        <v>point</v>
      </c>
      <c r="M768" s="23">
        <f>(G768-239793000)/3600</f>
        <v>0.33333333330021964</v>
      </c>
      <c r="N768" s="23">
        <f t="shared" si="153"/>
        <v>-0.4771212547628057</v>
      </c>
      <c r="O768" t="s">
        <v>462</v>
      </c>
      <c r="P768">
        <v>4</v>
      </c>
      <c r="Q768" t="s">
        <v>1204</v>
      </c>
      <c r="S768" t="s">
        <v>1214</v>
      </c>
    </row>
    <row r="769" spans="1:19" x14ac:dyDescent="0.4">
      <c r="A769" t="s">
        <v>1413</v>
      </c>
      <c r="B769" s="24">
        <v>1977</v>
      </c>
      <c r="C769" s="24">
        <v>8</v>
      </c>
      <c r="D769" s="24">
        <v>7</v>
      </c>
      <c r="E769" s="24">
        <v>9</v>
      </c>
      <c r="F769" s="24">
        <v>40</v>
      </c>
      <c r="G769" s="20">
        <f t="shared" si="147"/>
        <v>239794799.99999997</v>
      </c>
      <c r="J769" t="s">
        <v>656</v>
      </c>
      <c r="K769" s="22" t="str">
        <f t="shared" ref="K769:K772" si="154">IF(H769="",IF(I769="","point","middle"),"span")</f>
        <v>point</v>
      </c>
      <c r="M769" s="23">
        <f>(G769-239793000)/3600</f>
        <v>0.49999999999172157</v>
      </c>
      <c r="N769" s="23">
        <f>IF(M769=0,0, IF(M769&gt;0,LOG10(M769), -LOG10(-1*M769)))</f>
        <v>-0.30102999567117172</v>
      </c>
      <c r="O769" t="s">
        <v>462</v>
      </c>
      <c r="P769">
        <v>5</v>
      </c>
      <c r="Q769" t="s">
        <v>1205</v>
      </c>
      <c r="S769" t="s">
        <v>1214</v>
      </c>
    </row>
    <row r="770" spans="1:19" x14ac:dyDescent="0.4">
      <c r="A770" t="s">
        <v>1413</v>
      </c>
      <c r="B770" s="24">
        <v>1977</v>
      </c>
      <c r="C770" s="24">
        <v>8</v>
      </c>
      <c r="D770" s="24">
        <v>7</v>
      </c>
      <c r="E770" s="24">
        <v>10</v>
      </c>
      <c r="F770" s="24">
        <v>0</v>
      </c>
      <c r="G770" s="20">
        <f t="shared" si="147"/>
        <v>239796000.00000012</v>
      </c>
      <c r="J770" t="s">
        <v>656</v>
      </c>
      <c r="K770" s="22" t="str">
        <f t="shared" si="154"/>
        <v>point</v>
      </c>
      <c r="M770" s="23">
        <f t="shared" ref="M770:M776" si="155">(G770-239793000)/3600</f>
        <v>0.83333333336644699</v>
      </c>
      <c r="N770" s="23">
        <f t="shared" ref="N770:N776" si="156">IF(M770=0,0, IF(M770&gt;0,LOG10(M770), -LOG10(-1*M770)))</f>
        <v>-7.9181246030367539E-2</v>
      </c>
      <c r="O770" t="s">
        <v>462</v>
      </c>
      <c r="P770">
        <v>5</v>
      </c>
      <c r="Q770" t="s">
        <v>1206</v>
      </c>
      <c r="S770" t="s">
        <v>1214</v>
      </c>
    </row>
    <row r="771" spans="1:19" x14ac:dyDescent="0.4">
      <c r="A771" t="s">
        <v>1413</v>
      </c>
      <c r="B771" s="24">
        <v>1977</v>
      </c>
      <c r="C771" s="24">
        <v>8</v>
      </c>
      <c r="D771" s="24">
        <v>7</v>
      </c>
      <c r="E771" s="24">
        <v>10</v>
      </c>
      <c r="F771" s="24">
        <v>10</v>
      </c>
      <c r="G771" s="20">
        <f t="shared" si="147"/>
        <v>239796599.99999985</v>
      </c>
      <c r="H771" s="20">
        <v>0.25</v>
      </c>
      <c r="J771" t="s">
        <v>656</v>
      </c>
      <c r="K771" s="22" t="str">
        <f t="shared" si="154"/>
        <v>span</v>
      </c>
      <c r="M771" s="23">
        <f t="shared" si="155"/>
        <v>0.99999999995860789</v>
      </c>
      <c r="N771" s="23">
        <f t="shared" si="156"/>
        <v>-1.7976365819005158E-11</v>
      </c>
      <c r="O771" t="s">
        <v>462</v>
      </c>
      <c r="P771">
        <v>5</v>
      </c>
      <c r="Q771" t="s">
        <v>1207</v>
      </c>
      <c r="S771" t="s">
        <v>1214</v>
      </c>
    </row>
    <row r="772" spans="1:19" x14ac:dyDescent="0.4">
      <c r="A772" t="s">
        <v>1413</v>
      </c>
      <c r="B772" s="24">
        <v>1977</v>
      </c>
      <c r="C772" s="24">
        <v>8</v>
      </c>
      <c r="D772" s="24">
        <v>7</v>
      </c>
      <c r="E772" s="24">
        <v>10</v>
      </c>
      <c r="F772" s="24">
        <v>40</v>
      </c>
      <c r="G772" s="20">
        <f t="shared" si="147"/>
        <v>239798400.00000006</v>
      </c>
      <c r="J772" t="s">
        <v>656</v>
      </c>
      <c r="K772" s="22" t="str">
        <f t="shared" si="154"/>
        <v>point</v>
      </c>
      <c r="M772" s="23">
        <f t="shared" si="155"/>
        <v>1.5000000000165568</v>
      </c>
      <c r="N772" s="23">
        <f t="shared" si="156"/>
        <v>0.1760912590604749</v>
      </c>
      <c r="O772" t="s">
        <v>462</v>
      </c>
      <c r="P772">
        <v>5</v>
      </c>
      <c r="Q772" t="s">
        <v>1208</v>
      </c>
      <c r="S772" t="s">
        <v>1214</v>
      </c>
    </row>
    <row r="773" spans="1:19" x14ac:dyDescent="0.4">
      <c r="A773" t="s">
        <v>1413</v>
      </c>
      <c r="B773" s="24">
        <v>1977</v>
      </c>
      <c r="C773" s="24">
        <v>8</v>
      </c>
      <c r="D773" s="24">
        <v>7</v>
      </c>
      <c r="E773" s="24">
        <v>10</v>
      </c>
      <c r="F773" s="24">
        <v>44</v>
      </c>
      <c r="G773" s="20">
        <f t="shared" si="147"/>
        <v>239798639.99999991</v>
      </c>
      <c r="J773" t="s">
        <v>656</v>
      </c>
      <c r="K773" s="22" t="str">
        <f t="shared" ref="K773" si="157">IF(H773="",IF(I773="","point","middle"),"span")</f>
        <v>point</v>
      </c>
      <c r="M773" s="23">
        <f t="shared" si="155"/>
        <v>1.5666666666418314</v>
      </c>
      <c r="N773" s="23">
        <f t="shared" si="156"/>
        <v>0.19497660320917046</v>
      </c>
      <c r="O773" t="s">
        <v>462</v>
      </c>
      <c r="P773">
        <v>5</v>
      </c>
      <c r="Q773" t="s">
        <v>1209</v>
      </c>
      <c r="S773" t="s">
        <v>1214</v>
      </c>
    </row>
    <row r="774" spans="1:19" x14ac:dyDescent="0.4">
      <c r="A774" t="s">
        <v>1413</v>
      </c>
      <c r="B774" s="24">
        <v>1977</v>
      </c>
      <c r="C774" s="24">
        <v>8</v>
      </c>
      <c r="D774" s="24">
        <v>7</v>
      </c>
      <c r="E774" s="24">
        <v>11</v>
      </c>
      <c r="F774" s="24">
        <v>7</v>
      </c>
      <c r="G774" s="20">
        <f t="shared" si="147"/>
        <v>239800020</v>
      </c>
      <c r="J774" t="s">
        <v>656</v>
      </c>
      <c r="K774" s="22" t="str">
        <f t="shared" ref="K774" si="158">IF(H774="",IF(I774="","point","middle"),"span")</f>
        <v>point</v>
      </c>
      <c r="M774" s="23">
        <f t="shared" si="155"/>
        <v>1.95</v>
      </c>
      <c r="N774" s="23">
        <f t="shared" si="156"/>
        <v>0.29003461136251801</v>
      </c>
      <c r="O774" t="s">
        <v>462</v>
      </c>
      <c r="P774">
        <v>4</v>
      </c>
      <c r="Q774" t="s">
        <v>1210</v>
      </c>
      <c r="S774" t="s">
        <v>1214</v>
      </c>
    </row>
    <row r="775" spans="1:19" x14ac:dyDescent="0.4">
      <c r="A775" t="s">
        <v>1413</v>
      </c>
      <c r="B775" s="24">
        <v>1977</v>
      </c>
      <c r="C775" s="24">
        <v>8</v>
      </c>
      <c r="D775" s="24">
        <v>7</v>
      </c>
      <c r="E775" s="24">
        <v>11</v>
      </c>
      <c r="F775" s="24">
        <v>12</v>
      </c>
      <c r="G775" s="20">
        <f t="shared" si="147"/>
        <v>239800320.00000003</v>
      </c>
      <c r="J775" t="s">
        <v>656</v>
      </c>
      <c r="K775" s="22" t="str">
        <f t="shared" ref="K775" si="159">IF(H775="",IF(I775="","point","middle"),"span")</f>
        <v>point</v>
      </c>
      <c r="M775" s="23">
        <f t="shared" si="155"/>
        <v>2.0333333333416119</v>
      </c>
      <c r="N775" s="23">
        <f t="shared" si="156"/>
        <v>0.30820858029287279</v>
      </c>
      <c r="O775" t="s">
        <v>462</v>
      </c>
      <c r="P775">
        <v>4</v>
      </c>
      <c r="Q775" t="s">
        <v>1211</v>
      </c>
      <c r="S775" t="s">
        <v>1214</v>
      </c>
    </row>
    <row r="776" spans="1:19" x14ac:dyDescent="0.4">
      <c r="A776" t="s">
        <v>1413</v>
      </c>
      <c r="B776" s="24">
        <v>1977</v>
      </c>
      <c r="C776" s="24">
        <v>8</v>
      </c>
      <c r="D776" s="24">
        <v>7</v>
      </c>
      <c r="E776" s="24">
        <v>11</v>
      </c>
      <c r="F776" s="24">
        <v>13</v>
      </c>
      <c r="G776" s="20">
        <f t="shared" si="147"/>
        <v>239800379.99999991</v>
      </c>
      <c r="H776" s="20">
        <v>0.03</v>
      </c>
      <c r="J776" t="s">
        <v>656</v>
      </c>
      <c r="K776" s="22" t="str">
        <f t="shared" ref="K776" si="160">IF(H776="",IF(I776="","point","middle"),"span")</f>
        <v>span</v>
      </c>
      <c r="M776" s="23">
        <f t="shared" si="155"/>
        <v>2.0499999999751646</v>
      </c>
      <c r="N776" s="23">
        <f t="shared" si="156"/>
        <v>0.31175386105049291</v>
      </c>
      <c r="P776">
        <v>2</v>
      </c>
      <c r="Q776" t="s">
        <v>1212</v>
      </c>
      <c r="S776" t="s">
        <v>1214</v>
      </c>
    </row>
    <row r="777" spans="1:19" x14ac:dyDescent="0.4">
      <c r="A777" t="s">
        <v>1413</v>
      </c>
      <c r="B777" s="24">
        <v>1977</v>
      </c>
      <c r="C777" s="24">
        <v>8</v>
      </c>
      <c r="D777" s="24">
        <v>7</v>
      </c>
      <c r="E777" s="24">
        <v>11</v>
      </c>
      <c r="F777" s="24">
        <v>15</v>
      </c>
      <c r="G777" s="20">
        <f t="shared" si="147"/>
        <v>239800500</v>
      </c>
      <c r="J777" t="s">
        <v>656</v>
      </c>
      <c r="K777" s="22" t="str">
        <f t="shared" ref="K777:K806" si="161">IF(H777="",IF(I777="","point","middle"),"span")</f>
        <v>point</v>
      </c>
      <c r="M777" s="23">
        <f t="shared" ref="M777:M806" si="162">(G777-239793000)/3600</f>
        <v>2.0833333333333335</v>
      </c>
      <c r="N777" s="23">
        <f t="shared" si="152"/>
        <v>0.31875876262441283</v>
      </c>
      <c r="O777" t="s">
        <v>462</v>
      </c>
      <c r="P777">
        <v>4</v>
      </c>
      <c r="Q777" t="s">
        <v>1213</v>
      </c>
      <c r="S777" t="s">
        <v>1214</v>
      </c>
    </row>
    <row r="778" spans="1:19" x14ac:dyDescent="0.4">
      <c r="A778" t="s">
        <v>1413</v>
      </c>
      <c r="B778" s="24">
        <v>1977</v>
      </c>
      <c r="C778" s="24">
        <v>8</v>
      </c>
      <c r="D778" s="24">
        <v>7</v>
      </c>
      <c r="E778" s="24">
        <v>11</v>
      </c>
      <c r="F778" s="24">
        <v>28</v>
      </c>
      <c r="G778" s="20">
        <f t="shared" si="147"/>
        <v>239801280.00000003</v>
      </c>
      <c r="J778" t="s">
        <v>656</v>
      </c>
      <c r="K778" s="22" t="str">
        <f t="shared" ref="K778:K782" si="163">IF(H778="",IF(I778="","point","middle"),"span")</f>
        <v>point</v>
      </c>
      <c r="M778" s="23">
        <f t="shared" si="162"/>
        <v>2.3000000000082785</v>
      </c>
      <c r="N778" s="23">
        <f t="shared" si="152"/>
        <v>0.36172783601915603</v>
      </c>
      <c r="O778" t="s">
        <v>462</v>
      </c>
      <c r="P778">
        <v>4</v>
      </c>
      <c r="Q778" t="s">
        <v>1215</v>
      </c>
      <c r="S778" t="s">
        <v>1214</v>
      </c>
    </row>
    <row r="779" spans="1:19" x14ac:dyDescent="0.4">
      <c r="A779" t="s">
        <v>1413</v>
      </c>
      <c r="B779" s="24">
        <v>1977</v>
      </c>
      <c r="C779" s="24">
        <v>8</v>
      </c>
      <c r="D779" s="24">
        <v>7</v>
      </c>
      <c r="E779" s="24">
        <v>11</v>
      </c>
      <c r="F779" s="24">
        <v>32</v>
      </c>
      <c r="G779" s="20">
        <f t="shared" si="147"/>
        <v>239801519.99999988</v>
      </c>
      <c r="J779" t="s">
        <v>656</v>
      </c>
      <c r="K779" s="22" t="str">
        <f t="shared" si="163"/>
        <v>point</v>
      </c>
      <c r="M779" s="23">
        <f t="shared" si="162"/>
        <v>2.3666666666335532</v>
      </c>
      <c r="N779" s="23">
        <f t="shared" si="152"/>
        <v>0.37413709399333639</v>
      </c>
      <c r="O779" t="s">
        <v>462</v>
      </c>
      <c r="P779">
        <v>4</v>
      </c>
      <c r="Q779" t="s">
        <v>1216</v>
      </c>
      <c r="S779" t="s">
        <v>1214</v>
      </c>
    </row>
    <row r="780" spans="1:19" x14ac:dyDescent="0.4">
      <c r="A780" t="s">
        <v>1413</v>
      </c>
      <c r="B780" s="24">
        <v>1977</v>
      </c>
      <c r="C780" s="24">
        <v>8</v>
      </c>
      <c r="D780" s="24">
        <v>7</v>
      </c>
      <c r="E780" s="24">
        <v>11</v>
      </c>
      <c r="F780" s="24">
        <v>37</v>
      </c>
      <c r="G780" s="20">
        <f t="shared" si="147"/>
        <v>239801819.99999991</v>
      </c>
      <c r="J780" t="s">
        <v>656</v>
      </c>
      <c r="K780" s="22" t="str">
        <f t="shared" si="163"/>
        <v>point</v>
      </c>
      <c r="M780" s="23">
        <f t="shared" si="162"/>
        <v>2.4499999999751649</v>
      </c>
      <c r="N780" s="23">
        <f t="shared" si="152"/>
        <v>0.38916608436013012</v>
      </c>
      <c r="O780" t="s">
        <v>462</v>
      </c>
      <c r="P780">
        <v>4</v>
      </c>
      <c r="Q780" t="s">
        <v>1217</v>
      </c>
      <c r="S780" t="s">
        <v>1214</v>
      </c>
    </row>
    <row r="781" spans="1:19" x14ac:dyDescent="0.4">
      <c r="A781" t="s">
        <v>1413</v>
      </c>
      <c r="B781" s="24">
        <v>1977</v>
      </c>
      <c r="C781" s="24">
        <v>8</v>
      </c>
      <c r="D781" s="24">
        <v>7</v>
      </c>
      <c r="E781" s="24">
        <v>11</v>
      </c>
      <c r="F781" s="24">
        <v>56</v>
      </c>
      <c r="G781" s="20">
        <f t="shared" si="147"/>
        <v>239802959.99999985</v>
      </c>
      <c r="H781" s="20">
        <v>0.6</v>
      </c>
      <c r="J781" t="s">
        <v>656</v>
      </c>
      <c r="K781" s="22" t="str">
        <f t="shared" si="163"/>
        <v>span</v>
      </c>
      <c r="M781" s="23">
        <f t="shared" si="162"/>
        <v>2.7666666666252744</v>
      </c>
      <c r="N781" s="23">
        <f t="shared" si="152"/>
        <v>0.44195683764991395</v>
      </c>
      <c r="O781" t="s">
        <v>462</v>
      </c>
      <c r="P781">
        <v>4</v>
      </c>
      <c r="Q781" t="s">
        <v>1218</v>
      </c>
      <c r="S781" t="s">
        <v>1214</v>
      </c>
    </row>
    <row r="782" spans="1:19" x14ac:dyDescent="0.4">
      <c r="A782" t="s">
        <v>1413</v>
      </c>
      <c r="B782" s="24">
        <v>1977</v>
      </c>
      <c r="C782" s="24">
        <v>8</v>
      </c>
      <c r="D782" s="24">
        <v>7</v>
      </c>
      <c r="E782" s="24">
        <v>12</v>
      </c>
      <c r="F782" s="24">
        <v>50</v>
      </c>
      <c r="G782" s="20">
        <f t="shared" si="147"/>
        <v>239806200.00000003</v>
      </c>
      <c r="H782" s="20">
        <v>0.67</v>
      </c>
      <c r="J782" t="s">
        <v>656</v>
      </c>
      <c r="K782" s="22" t="str">
        <f t="shared" si="163"/>
        <v>span</v>
      </c>
      <c r="M782" s="23">
        <f t="shared" si="162"/>
        <v>3.6666666666749452</v>
      </c>
      <c r="N782" s="23">
        <f t="shared" si="152"/>
        <v>0.5642714304395432</v>
      </c>
      <c r="P782">
        <v>2</v>
      </c>
      <c r="Q782" t="s">
        <v>1219</v>
      </c>
      <c r="S782" t="s">
        <v>1214</v>
      </c>
    </row>
    <row r="783" spans="1:19" x14ac:dyDescent="0.4">
      <c r="A783" t="s">
        <v>1413</v>
      </c>
      <c r="B783" s="24">
        <v>1977</v>
      </c>
      <c r="C783" s="24">
        <v>8</v>
      </c>
      <c r="D783" s="24">
        <v>7</v>
      </c>
      <c r="E783" s="24">
        <v>13</v>
      </c>
      <c r="F783" s="24">
        <v>31</v>
      </c>
      <c r="G783" s="20">
        <f t="shared" si="147"/>
        <v>239808659.99999988</v>
      </c>
      <c r="J783" t="s">
        <v>656</v>
      </c>
      <c r="K783" s="22" t="str">
        <f t="shared" si="161"/>
        <v>point</v>
      </c>
      <c r="M783" s="23">
        <f t="shared" si="162"/>
        <v>4.3499999999668866</v>
      </c>
      <c r="N783" s="23">
        <f t="shared" si="152"/>
        <v>0.63848925695133141</v>
      </c>
      <c r="O783" t="s">
        <v>462</v>
      </c>
      <c r="P783">
        <v>3</v>
      </c>
      <c r="Q783" t="s">
        <v>1220</v>
      </c>
      <c r="S783" t="s">
        <v>1214</v>
      </c>
    </row>
    <row r="784" spans="1:19" x14ac:dyDescent="0.4">
      <c r="A784" t="s">
        <v>1413</v>
      </c>
      <c r="B784" s="24">
        <v>1977</v>
      </c>
      <c r="C784" s="24">
        <v>8</v>
      </c>
      <c r="D784" s="24">
        <v>7</v>
      </c>
      <c r="E784" s="24">
        <v>16</v>
      </c>
      <c r="F784" s="24">
        <v>20</v>
      </c>
      <c r="G784" s="20">
        <f t="shared" si="147"/>
        <v>239818799.99999994</v>
      </c>
      <c r="J784" t="s">
        <v>656</v>
      </c>
      <c r="K784" s="22" t="str">
        <f t="shared" si="161"/>
        <v>point</v>
      </c>
      <c r="M784" s="23">
        <f t="shared" si="162"/>
        <v>7.1666666666501095</v>
      </c>
      <c r="N784" s="23">
        <f t="shared" si="152"/>
        <v>0.85531720519493959</v>
      </c>
      <c r="O784" t="s">
        <v>462</v>
      </c>
      <c r="P784">
        <v>3</v>
      </c>
      <c r="Q784" t="s">
        <v>1221</v>
      </c>
      <c r="S784" t="s">
        <v>1214</v>
      </c>
    </row>
    <row r="785" spans="1:19" x14ac:dyDescent="0.4">
      <c r="A785" t="s">
        <v>1413</v>
      </c>
      <c r="B785" s="24">
        <v>1977</v>
      </c>
      <c r="C785" s="24">
        <v>8</v>
      </c>
      <c r="D785" s="24">
        <v>7</v>
      </c>
      <c r="E785" s="24">
        <v>18</v>
      </c>
      <c r="F785" s="24">
        <v>22</v>
      </c>
      <c r="G785" s="20">
        <f t="shared" si="147"/>
        <v>239826119.99999991</v>
      </c>
      <c r="J785" t="s">
        <v>656</v>
      </c>
      <c r="K785" s="22" t="str">
        <f t="shared" si="161"/>
        <v>point</v>
      </c>
      <c r="M785" s="23">
        <f t="shared" si="162"/>
        <v>9.199999999975164</v>
      </c>
      <c r="N785" s="23">
        <f t="shared" si="152"/>
        <v>0.96378782734438284</v>
      </c>
      <c r="O785" t="s">
        <v>462</v>
      </c>
      <c r="P785">
        <v>3</v>
      </c>
      <c r="Q785" t="s">
        <v>1222</v>
      </c>
      <c r="S785" t="s">
        <v>1214</v>
      </c>
    </row>
    <row r="786" spans="1:19" x14ac:dyDescent="0.4">
      <c r="A786" t="s">
        <v>1413</v>
      </c>
      <c r="B786" s="24">
        <v>1977</v>
      </c>
      <c r="C786" s="24">
        <v>8</v>
      </c>
      <c r="D786" s="24">
        <v>8</v>
      </c>
      <c r="E786" s="24">
        <v>13</v>
      </c>
      <c r="F786" s="24">
        <v>35</v>
      </c>
      <c r="G786" s="20">
        <f t="shared" si="147"/>
        <v>239895300.00000003</v>
      </c>
      <c r="H786" s="20">
        <v>0.5</v>
      </c>
      <c r="J786" t="s">
        <v>656</v>
      </c>
      <c r="K786" s="22" t="str">
        <f t="shared" si="161"/>
        <v>span</v>
      </c>
      <c r="M786" s="23">
        <f t="shared" si="162"/>
        <v>28.416666666674946</v>
      </c>
      <c r="N786" s="23">
        <f t="shared" si="152"/>
        <v>1.4535731329449995</v>
      </c>
      <c r="O786" t="s">
        <v>462</v>
      </c>
      <c r="P786">
        <v>3</v>
      </c>
      <c r="Q786" t="s">
        <v>1222</v>
      </c>
      <c r="S786" t="s">
        <v>1214</v>
      </c>
    </row>
    <row r="787" spans="1:19" x14ac:dyDescent="0.4">
      <c r="A787" t="s">
        <v>1413</v>
      </c>
      <c r="B787" s="24">
        <v>1977</v>
      </c>
      <c r="C787" s="24">
        <v>8</v>
      </c>
      <c r="D787" s="24">
        <v>8</v>
      </c>
      <c r="E787" s="24">
        <v>15</v>
      </c>
      <c r="F787" s="24">
        <v>20</v>
      </c>
      <c r="G787" s="20">
        <f t="shared" si="147"/>
        <v>239901600.00000015</v>
      </c>
      <c r="H787" s="20">
        <v>0.75</v>
      </c>
      <c r="J787" t="s">
        <v>656</v>
      </c>
      <c r="K787" s="22" t="str">
        <f t="shared" si="161"/>
        <v>span</v>
      </c>
      <c r="M787" s="23">
        <f t="shared" si="162"/>
        <v>30.166666666708061</v>
      </c>
      <c r="N787" s="23">
        <f t="shared" si="152"/>
        <v>1.4795273244861369</v>
      </c>
      <c r="O787" t="s">
        <v>462</v>
      </c>
      <c r="P787">
        <v>4</v>
      </c>
      <c r="Q787" t="s">
        <v>1223</v>
      </c>
      <c r="S787" t="s">
        <v>1214</v>
      </c>
    </row>
    <row r="788" spans="1:19" x14ac:dyDescent="0.4">
      <c r="A788" t="s">
        <v>1413</v>
      </c>
      <c r="B788" s="24">
        <v>1977</v>
      </c>
      <c r="C788" s="24">
        <v>8</v>
      </c>
      <c r="D788" s="24">
        <v>8</v>
      </c>
      <c r="E788" s="24">
        <v>16</v>
      </c>
      <c r="F788" s="24">
        <v>5</v>
      </c>
      <c r="G788" s="20">
        <f t="shared" si="147"/>
        <v>239904300.00000015</v>
      </c>
      <c r="H788" s="24">
        <v>0.5</v>
      </c>
      <c r="J788" t="s">
        <v>656</v>
      </c>
      <c r="K788" s="22" t="str">
        <f t="shared" ref="K788:K790" si="164">IF(H788="",IF(I788="","point","middle"),"span")</f>
        <v>span</v>
      </c>
      <c r="M788" s="23">
        <f t="shared" si="162"/>
        <v>30.916666666708061</v>
      </c>
      <c r="N788" s="23">
        <f t="shared" si="152"/>
        <v>1.4901926635680025</v>
      </c>
      <c r="O788" t="s">
        <v>462</v>
      </c>
      <c r="P788">
        <v>5</v>
      </c>
      <c r="Q788" t="s">
        <v>1224</v>
      </c>
      <c r="S788" t="s">
        <v>1214</v>
      </c>
    </row>
    <row r="789" spans="1:19" x14ac:dyDescent="0.4">
      <c r="A789" t="s">
        <v>1413</v>
      </c>
      <c r="B789" s="24">
        <v>1977</v>
      </c>
      <c r="C789" s="24">
        <v>8</v>
      </c>
      <c r="D789" s="24">
        <v>8</v>
      </c>
      <c r="E789" s="24">
        <v>16</v>
      </c>
      <c r="F789" s="24">
        <v>30</v>
      </c>
      <c r="G789" s="20">
        <f t="shared" si="147"/>
        <v>239905800</v>
      </c>
      <c r="J789" t="s">
        <v>656</v>
      </c>
      <c r="K789" s="22" t="str">
        <f t="shared" si="164"/>
        <v>point</v>
      </c>
      <c r="M789" s="23">
        <f t="shared" si="162"/>
        <v>31.333333333333332</v>
      </c>
      <c r="N789" s="23">
        <f t="shared" si="152"/>
        <v>1.4960065988800362</v>
      </c>
      <c r="O789" t="s">
        <v>462</v>
      </c>
      <c r="P789">
        <v>5</v>
      </c>
      <c r="Q789" t="s">
        <v>1225</v>
      </c>
      <c r="S789" t="s">
        <v>1214</v>
      </c>
    </row>
    <row r="790" spans="1:19" x14ac:dyDescent="0.4">
      <c r="A790" t="s">
        <v>1413</v>
      </c>
      <c r="B790" s="24">
        <v>1977</v>
      </c>
      <c r="C790" s="24">
        <v>8</v>
      </c>
      <c r="D790" s="24">
        <v>8</v>
      </c>
      <c r="E790" s="24">
        <v>18</v>
      </c>
      <c r="F790" s="24">
        <v>0</v>
      </c>
      <c r="G790" s="20">
        <f t="shared" si="147"/>
        <v>239911200</v>
      </c>
      <c r="H790" s="24">
        <v>1</v>
      </c>
      <c r="J790" t="s">
        <v>656</v>
      </c>
      <c r="K790" s="22" t="str">
        <f t="shared" si="164"/>
        <v>span</v>
      </c>
      <c r="M790" s="23">
        <f t="shared" si="162"/>
        <v>32.833333333333336</v>
      </c>
      <c r="N790" s="23">
        <f t="shared" si="152"/>
        <v>1.5163149757779493</v>
      </c>
      <c r="P790">
        <v>2</v>
      </c>
      <c r="Q790" t="s">
        <v>1226</v>
      </c>
      <c r="S790" t="s">
        <v>1214</v>
      </c>
    </row>
    <row r="791" spans="1:19" x14ac:dyDescent="0.4">
      <c r="A791" t="s">
        <v>1413</v>
      </c>
      <c r="B791" s="24">
        <v>1977</v>
      </c>
      <c r="C791" s="24">
        <v>8</v>
      </c>
      <c r="D791" s="24">
        <v>8</v>
      </c>
      <c r="E791" s="24">
        <v>19</v>
      </c>
      <c r="F791" s="24">
        <v>0</v>
      </c>
      <c r="G791" s="20">
        <f t="shared" si="147"/>
        <v>239914800.00000012</v>
      </c>
      <c r="J791" t="s">
        <v>656</v>
      </c>
      <c r="K791" s="22" t="str">
        <f t="shared" si="161"/>
        <v>point</v>
      </c>
      <c r="M791" s="23">
        <f t="shared" si="162"/>
        <v>33.833333333366447</v>
      </c>
      <c r="N791" s="23">
        <f t="shared" si="152"/>
        <v>1.5293447875299944</v>
      </c>
      <c r="O791" t="s">
        <v>462</v>
      </c>
      <c r="P791">
        <v>4</v>
      </c>
      <c r="Q791" t="s">
        <v>1227</v>
      </c>
      <c r="S791" t="s">
        <v>1214</v>
      </c>
    </row>
    <row r="792" spans="1:19" x14ac:dyDescent="0.4">
      <c r="A792" t="s">
        <v>1413</v>
      </c>
      <c r="B792" s="24">
        <v>1977</v>
      </c>
      <c r="C792" s="24">
        <v>8</v>
      </c>
      <c r="D792" s="24">
        <v>8</v>
      </c>
      <c r="E792" s="24">
        <v>23</v>
      </c>
      <c r="F792" s="24">
        <v>40</v>
      </c>
      <c r="G792" s="20">
        <f t="shared" si="147"/>
        <v>239931599.99999985</v>
      </c>
      <c r="H792" s="20">
        <v>2.25</v>
      </c>
      <c r="J792" t="s">
        <v>656</v>
      </c>
      <c r="K792" s="22" t="str">
        <f t="shared" si="161"/>
        <v>span</v>
      </c>
      <c r="M792" s="23">
        <f t="shared" si="162"/>
        <v>38.499999999958611</v>
      </c>
      <c r="N792" s="23">
        <f t="shared" si="152"/>
        <v>1.5854607295080339</v>
      </c>
      <c r="O792" t="s">
        <v>462</v>
      </c>
      <c r="P792">
        <v>4</v>
      </c>
      <c r="Q792" t="s">
        <v>1228</v>
      </c>
      <c r="S792" t="s">
        <v>1214</v>
      </c>
    </row>
    <row r="793" spans="1:19" x14ac:dyDescent="0.4">
      <c r="A793" t="s">
        <v>1413</v>
      </c>
      <c r="B793" s="24">
        <v>1977</v>
      </c>
      <c r="C793" s="24">
        <v>8</v>
      </c>
      <c r="D793" s="24">
        <v>8</v>
      </c>
      <c r="E793" s="24">
        <v>23</v>
      </c>
      <c r="F793" s="24">
        <v>44</v>
      </c>
      <c r="G793" s="20">
        <f t="shared" si="147"/>
        <v>239931840</v>
      </c>
      <c r="J793" t="s">
        <v>656</v>
      </c>
      <c r="K793" s="22" t="str">
        <f t="shared" ref="K793" si="165">IF(H793="",IF(I793="","point","middle"),"span")</f>
        <v>point</v>
      </c>
      <c r="M793" s="23">
        <f t="shared" si="162"/>
        <v>38.56666666666667</v>
      </c>
      <c r="N793" s="23">
        <f t="shared" si="152"/>
        <v>1.5862121042320871</v>
      </c>
      <c r="O793" t="s">
        <v>462</v>
      </c>
      <c r="P793">
        <v>4</v>
      </c>
      <c r="Q793" t="s">
        <v>1229</v>
      </c>
      <c r="S793" t="s">
        <v>1214</v>
      </c>
    </row>
    <row r="794" spans="1:19" x14ac:dyDescent="0.4">
      <c r="A794" t="s">
        <v>1413</v>
      </c>
      <c r="B794" s="24">
        <v>1977</v>
      </c>
      <c r="C794" s="24">
        <v>8</v>
      </c>
      <c r="D794" s="24">
        <v>9</v>
      </c>
      <c r="E794" s="24">
        <v>0</v>
      </c>
      <c r="F794" s="24">
        <v>10</v>
      </c>
      <c r="G794" s="20">
        <f t="shared" si="147"/>
        <v>239933400.00000006</v>
      </c>
      <c r="H794" s="24">
        <v>1.75</v>
      </c>
      <c r="J794" t="s">
        <v>656</v>
      </c>
      <c r="K794" s="22" t="str">
        <f t="shared" ref="K794" si="166">IF(H794="",IF(I794="","point","middle"),"span")</f>
        <v>span</v>
      </c>
      <c r="M794" s="23">
        <f t="shared" ref="M794:M796" si="167">(G794-239793000)/3600</f>
        <v>39.000000000016556</v>
      </c>
      <c r="N794" s="23">
        <f t="shared" ref="N794:N796" si="168">IF(M794=0,0, IF(M794&gt;0,LOG10(M794), -LOG10(-1*M794)))</f>
        <v>1.5910646070266836</v>
      </c>
      <c r="O794" t="s">
        <v>462</v>
      </c>
      <c r="P794">
        <v>5</v>
      </c>
      <c r="Q794" t="s">
        <v>1230</v>
      </c>
      <c r="S794" t="s">
        <v>1214</v>
      </c>
    </row>
    <row r="795" spans="1:19" x14ac:dyDescent="0.4">
      <c r="A795" t="s">
        <v>1413</v>
      </c>
      <c r="B795" s="24">
        <v>1977</v>
      </c>
      <c r="C795" s="24">
        <v>8</v>
      </c>
      <c r="D795" s="24">
        <v>9</v>
      </c>
      <c r="E795" s="24">
        <v>1</v>
      </c>
      <c r="F795" s="24">
        <v>0</v>
      </c>
      <c r="G795" s="20">
        <f t="shared" si="147"/>
        <v>239936400.00000012</v>
      </c>
      <c r="J795" t="s">
        <v>656</v>
      </c>
      <c r="K795" s="22" t="str">
        <f t="shared" ref="K795" si="169">IF(H795="",IF(I795="","point","middle"),"span")</f>
        <v>point</v>
      </c>
      <c r="M795" s="23">
        <f t="shared" si="167"/>
        <v>39.833333333366447</v>
      </c>
      <c r="N795" s="23">
        <f t="shared" si="168"/>
        <v>1.6002466505648552</v>
      </c>
      <c r="O795" t="s">
        <v>462</v>
      </c>
      <c r="P795">
        <v>5</v>
      </c>
      <c r="Q795" t="s">
        <v>1231</v>
      </c>
      <c r="S795" t="s">
        <v>1214</v>
      </c>
    </row>
    <row r="796" spans="1:19" x14ac:dyDescent="0.4">
      <c r="A796" t="s">
        <v>1413</v>
      </c>
      <c r="B796" s="24">
        <v>1977</v>
      </c>
      <c r="C796" s="24">
        <v>8</v>
      </c>
      <c r="D796" s="24">
        <v>9</v>
      </c>
      <c r="E796" s="24">
        <v>1</v>
      </c>
      <c r="F796" s="24">
        <v>55</v>
      </c>
      <c r="G796" s="20">
        <f t="shared" si="147"/>
        <v>239939699.99999985</v>
      </c>
      <c r="H796" s="24">
        <v>0.25</v>
      </c>
      <c r="J796" t="s">
        <v>656</v>
      </c>
      <c r="K796" s="22" t="str">
        <f t="shared" ref="K796" si="170">IF(H796="",IF(I796="","point","middle"),"span")</f>
        <v>span</v>
      </c>
      <c r="M796" s="23">
        <f t="shared" si="167"/>
        <v>40.749999999958611</v>
      </c>
      <c r="N796" s="23">
        <f t="shared" si="168"/>
        <v>1.6101276130755544</v>
      </c>
      <c r="P796">
        <v>2</v>
      </c>
      <c r="Q796" t="s">
        <v>1232</v>
      </c>
      <c r="S796" t="s">
        <v>1214</v>
      </c>
    </row>
    <row r="797" spans="1:19" x14ac:dyDescent="0.4">
      <c r="A797" t="s">
        <v>1413</v>
      </c>
      <c r="B797" s="24">
        <v>1977</v>
      </c>
      <c r="C797" s="24">
        <v>8</v>
      </c>
      <c r="D797" s="24">
        <v>9</v>
      </c>
      <c r="E797" s="24">
        <v>2</v>
      </c>
      <c r="F797" s="24">
        <v>10</v>
      </c>
      <c r="G797" s="20">
        <f t="shared" si="147"/>
        <v>239940599.99999997</v>
      </c>
      <c r="H797" s="24">
        <v>0.08</v>
      </c>
      <c r="J797" t="s">
        <v>656</v>
      </c>
      <c r="K797" s="22" t="str">
        <f t="shared" si="161"/>
        <v>span</v>
      </c>
      <c r="M797" s="23">
        <f t="shared" si="162"/>
        <v>40.999999999991722</v>
      </c>
      <c r="N797" s="23">
        <f t="shared" si="152"/>
        <v>1.6127838567196477</v>
      </c>
      <c r="O797" t="s">
        <v>462</v>
      </c>
      <c r="P797">
        <v>5</v>
      </c>
      <c r="Q797" t="s">
        <v>1233</v>
      </c>
      <c r="S797" t="s">
        <v>1214</v>
      </c>
    </row>
    <row r="798" spans="1:19" x14ac:dyDescent="0.4">
      <c r="A798" t="s">
        <v>1413</v>
      </c>
      <c r="B798" s="24">
        <v>1977</v>
      </c>
      <c r="C798" s="24">
        <v>8</v>
      </c>
      <c r="D798" s="24">
        <v>9</v>
      </c>
      <c r="E798" s="24">
        <v>2</v>
      </c>
      <c r="F798" s="24">
        <v>15</v>
      </c>
      <c r="G798" s="20">
        <f t="shared" si="147"/>
        <v>239940900</v>
      </c>
      <c r="H798" s="24">
        <v>2.5</v>
      </c>
      <c r="J798" t="s">
        <v>656</v>
      </c>
      <c r="K798" s="22" t="str">
        <f t="shared" si="161"/>
        <v>span</v>
      </c>
      <c r="M798" s="23">
        <f t="shared" si="162"/>
        <v>41.083333333333336</v>
      </c>
      <c r="N798" s="23">
        <f t="shared" si="152"/>
        <v>1.6136656732296053</v>
      </c>
      <c r="P798">
        <v>2</v>
      </c>
      <c r="Q798" t="s">
        <v>1234</v>
      </c>
      <c r="S798" t="s">
        <v>1214</v>
      </c>
    </row>
    <row r="799" spans="1:19" x14ac:dyDescent="0.4">
      <c r="A799" t="s">
        <v>1413</v>
      </c>
      <c r="B799" s="24">
        <v>1977</v>
      </c>
      <c r="C799" s="24">
        <v>8</v>
      </c>
      <c r="D799" s="24">
        <v>9</v>
      </c>
      <c r="E799" s="24">
        <v>4</v>
      </c>
      <c r="F799" s="24">
        <v>45</v>
      </c>
      <c r="G799" s="20">
        <f t="shared" si="147"/>
        <v>239949900.00000012</v>
      </c>
      <c r="H799" s="20">
        <v>2.75</v>
      </c>
      <c r="J799" t="s">
        <v>656</v>
      </c>
      <c r="K799" s="22" t="str">
        <f t="shared" si="161"/>
        <v>span</v>
      </c>
      <c r="M799" s="23">
        <f t="shared" si="162"/>
        <v>43.583333333366447</v>
      </c>
      <c r="N799" s="23">
        <f t="shared" si="152"/>
        <v>1.6393204428199795</v>
      </c>
      <c r="O799" t="s">
        <v>462</v>
      </c>
      <c r="P799">
        <v>4</v>
      </c>
      <c r="S799" t="s">
        <v>1214</v>
      </c>
    </row>
    <row r="800" spans="1:19" x14ac:dyDescent="0.4">
      <c r="A800" t="s">
        <v>1413</v>
      </c>
      <c r="B800" s="24">
        <v>1977</v>
      </c>
      <c r="C800" s="24">
        <v>8</v>
      </c>
      <c r="D800" s="24">
        <v>9</v>
      </c>
      <c r="E800" s="24">
        <v>8</v>
      </c>
      <c r="F800" s="24">
        <v>15</v>
      </c>
      <c r="G800" s="20">
        <f t="shared" si="147"/>
        <v>239962500</v>
      </c>
      <c r="J800" t="s">
        <v>656</v>
      </c>
      <c r="K800" s="22" t="str">
        <f t="shared" si="161"/>
        <v>point</v>
      </c>
      <c r="M800" s="23">
        <f t="shared" si="162"/>
        <v>47.083333333333336</v>
      </c>
      <c r="N800" s="23">
        <f t="shared" si="152"/>
        <v>1.6728672017718138</v>
      </c>
      <c r="O800" t="s">
        <v>462</v>
      </c>
      <c r="P800">
        <v>4</v>
      </c>
      <c r="S800" t="s">
        <v>1214</v>
      </c>
    </row>
    <row r="801" spans="1:19" x14ac:dyDescent="0.4">
      <c r="A801" t="s">
        <v>1413</v>
      </c>
      <c r="B801" s="24">
        <v>1977</v>
      </c>
      <c r="C801" s="24">
        <v>8</v>
      </c>
      <c r="D801" s="24">
        <v>9</v>
      </c>
      <c r="E801" s="24">
        <v>8</v>
      </c>
      <c r="F801" s="24">
        <v>55</v>
      </c>
      <c r="G801" s="20">
        <f t="shared" si="147"/>
        <v>239964899.99999997</v>
      </c>
      <c r="J801" t="s">
        <v>656</v>
      </c>
      <c r="K801" s="22" t="str">
        <f t="shared" si="161"/>
        <v>point</v>
      </c>
      <c r="M801" s="23">
        <f t="shared" si="162"/>
        <v>47.749999999991722</v>
      </c>
      <c r="N801" s="23">
        <f t="shared" si="152"/>
        <v>1.6789733759196899</v>
      </c>
      <c r="O801" t="s">
        <v>462</v>
      </c>
      <c r="P801">
        <v>4</v>
      </c>
      <c r="S801" t="s">
        <v>1214</v>
      </c>
    </row>
    <row r="802" spans="1:19" x14ac:dyDescent="0.4">
      <c r="A802" t="s">
        <v>1413</v>
      </c>
      <c r="B802" s="24">
        <v>1977</v>
      </c>
      <c r="C802" s="24">
        <v>8</v>
      </c>
      <c r="D802" s="24">
        <v>9</v>
      </c>
      <c r="E802" s="24">
        <v>9</v>
      </c>
      <c r="F802" s="24">
        <v>8</v>
      </c>
      <c r="G802" s="20">
        <f t="shared" si="147"/>
        <v>239965680</v>
      </c>
      <c r="J802" t="s">
        <v>656</v>
      </c>
      <c r="K802" s="22" t="str">
        <f t="shared" si="161"/>
        <v>point</v>
      </c>
      <c r="M802" s="23">
        <f t="shared" si="162"/>
        <v>47.966666666666669</v>
      </c>
      <c r="N802" s="23">
        <f t="shared" si="152"/>
        <v>1.6809395392169428</v>
      </c>
      <c r="O802" t="s">
        <v>462</v>
      </c>
      <c r="P802">
        <v>4</v>
      </c>
      <c r="S802" t="s">
        <v>1214</v>
      </c>
    </row>
    <row r="803" spans="1:19" x14ac:dyDescent="0.4">
      <c r="A803" t="s">
        <v>1413</v>
      </c>
      <c r="B803" s="24">
        <v>1977</v>
      </c>
      <c r="C803" s="24">
        <v>8</v>
      </c>
      <c r="D803" s="24">
        <v>9</v>
      </c>
      <c r="E803" s="24">
        <v>10</v>
      </c>
      <c r="F803" s="24">
        <v>20</v>
      </c>
      <c r="G803" s="20">
        <f t="shared" si="147"/>
        <v>239969999.99999994</v>
      </c>
      <c r="H803" s="20">
        <v>0.75</v>
      </c>
      <c r="J803" t="s">
        <v>656</v>
      </c>
      <c r="K803" s="22" t="str">
        <f t="shared" si="161"/>
        <v>span</v>
      </c>
      <c r="M803" s="23">
        <f t="shared" si="162"/>
        <v>49.166666666650109</v>
      </c>
      <c r="N803" s="23">
        <f t="shared" si="152"/>
        <v>1.691670765594373</v>
      </c>
      <c r="O803" t="s">
        <v>462</v>
      </c>
      <c r="P803">
        <v>4</v>
      </c>
      <c r="S803" t="s">
        <v>1214</v>
      </c>
    </row>
    <row r="804" spans="1:19" x14ac:dyDescent="0.4">
      <c r="A804" t="s">
        <v>1413</v>
      </c>
      <c r="B804" s="24">
        <v>1977</v>
      </c>
      <c r="C804" s="24">
        <v>8</v>
      </c>
      <c r="D804" s="24">
        <v>9</v>
      </c>
      <c r="E804" s="24">
        <v>11</v>
      </c>
      <c r="F804" s="24">
        <v>20</v>
      </c>
      <c r="G804" s="20">
        <f t="shared" si="147"/>
        <v>239973600.00000003</v>
      </c>
      <c r="H804" s="20">
        <v>2.5</v>
      </c>
      <c r="J804" t="s">
        <v>656</v>
      </c>
      <c r="K804" s="22" t="str">
        <f t="shared" si="161"/>
        <v>span</v>
      </c>
      <c r="M804" s="23">
        <f t="shared" si="162"/>
        <v>50.166666666674942</v>
      </c>
      <c r="N804" s="23">
        <f t="shared" si="152"/>
        <v>1.7004152452102714</v>
      </c>
      <c r="O804" t="s">
        <v>462</v>
      </c>
      <c r="P804">
        <v>5</v>
      </c>
      <c r="S804" t="s">
        <v>1214</v>
      </c>
    </row>
    <row r="805" spans="1:19" x14ac:dyDescent="0.4">
      <c r="A805" t="s">
        <v>1413</v>
      </c>
      <c r="B805" s="24">
        <v>1977</v>
      </c>
      <c r="C805" s="24">
        <v>8</v>
      </c>
      <c r="D805" s="24">
        <v>9</v>
      </c>
      <c r="E805" s="24">
        <v>13</v>
      </c>
      <c r="F805" s="24">
        <v>57</v>
      </c>
      <c r="G805" s="20">
        <f t="shared" si="147"/>
        <v>239983019.99999994</v>
      </c>
      <c r="J805" t="s">
        <v>656</v>
      </c>
      <c r="K805" s="22" t="str">
        <f t="shared" si="161"/>
        <v>point</v>
      </c>
      <c r="M805" s="23">
        <f t="shared" si="162"/>
        <v>52.783333333316776</v>
      </c>
      <c r="N805" s="23">
        <f t="shared" si="152"/>
        <v>1.7224968129881322</v>
      </c>
      <c r="O805" t="s">
        <v>462</v>
      </c>
      <c r="P805">
        <v>4</v>
      </c>
      <c r="S805" t="s">
        <v>1214</v>
      </c>
    </row>
    <row r="806" spans="1:19" x14ac:dyDescent="0.4">
      <c r="A806" t="s">
        <v>1413</v>
      </c>
      <c r="B806" s="24">
        <v>1977</v>
      </c>
      <c r="C806" s="24">
        <v>8</v>
      </c>
      <c r="D806" s="24">
        <v>9</v>
      </c>
      <c r="E806" s="24">
        <v>16</v>
      </c>
      <c r="F806" s="24">
        <v>2</v>
      </c>
      <c r="G806" s="20">
        <f t="shared" si="147"/>
        <v>239990519.99999988</v>
      </c>
      <c r="J806" t="s">
        <v>656</v>
      </c>
      <c r="K806" s="22" t="str">
        <f t="shared" si="161"/>
        <v>point</v>
      </c>
      <c r="M806" s="23">
        <f t="shared" si="162"/>
        <v>54.866666666633556</v>
      </c>
      <c r="N806" s="23">
        <f t="shared" si="152"/>
        <v>1.7393085761563265</v>
      </c>
      <c r="O806" t="s">
        <v>462</v>
      </c>
      <c r="P806">
        <v>4</v>
      </c>
      <c r="S806" t="s">
        <v>1214</v>
      </c>
    </row>
    <row r="807" spans="1:19" x14ac:dyDescent="0.4">
      <c r="A807" t="s">
        <v>1413</v>
      </c>
      <c r="B807" s="24">
        <v>1977</v>
      </c>
      <c r="C807" s="24">
        <v>8</v>
      </c>
      <c r="D807" s="24">
        <v>12</v>
      </c>
      <c r="E807" s="24">
        <v>8</v>
      </c>
      <c r="F807" s="24">
        <v>12</v>
      </c>
      <c r="G807" s="20">
        <f>(IF(C807="",DATE(B807,7,1),IF(D807="",DATE(B807,C807,16), IF(E807="",DATE(B807,C807,D807)+TIME(12,0,0), IF(F807="", DATE(B807,C807,D807)+TIME(E807,0,0),DATE(B807,C807,D807)+TIME(E807,F807,0))))) - 25569)*86400</f>
        <v>240221520.00000003</v>
      </c>
      <c r="H807" s="20">
        <v>0.8</v>
      </c>
      <c r="J807" t="s">
        <v>656</v>
      </c>
      <c r="K807" s="22" t="str">
        <f>IF(H807="",IF(I807="","point","middle"),"span")</f>
        <v>span</v>
      </c>
      <c r="M807" s="23">
        <f>(G807-239793000)/3600</f>
        <v>119.03333333334162</v>
      </c>
      <c r="N807" s="23">
        <f>IF(M807=0,0, IF(M807&gt;0,LOG10(M807), -LOG10(-1*M807)))</f>
        <v>2.0756685954731497</v>
      </c>
      <c r="O807" t="s">
        <v>462</v>
      </c>
      <c r="P807">
        <v>4</v>
      </c>
      <c r="S807" t="s">
        <v>1214</v>
      </c>
    </row>
    <row r="808" spans="1:19" x14ac:dyDescent="0.4">
      <c r="A808" t="s">
        <v>1413</v>
      </c>
      <c r="B808" s="24">
        <v>1977</v>
      </c>
      <c r="C808" s="24">
        <v>8</v>
      </c>
      <c r="D808" s="24">
        <v>13</v>
      </c>
      <c r="E808" s="24">
        <v>22</v>
      </c>
      <c r="F808" s="24">
        <v>37</v>
      </c>
      <c r="G808" s="20">
        <f>(IF(C808="",DATE(B808,7,1),IF(D808="",DATE(B808,C808,16), IF(E808="",DATE(B808,C808,D808)+TIME(12,0,0), IF(F808="", DATE(B808,C808,D808)+TIME(E808,0,0),DATE(B808,C808,D808)+TIME(E808,F808,0))))) - 25569)*86400</f>
        <v>240359820.00000012</v>
      </c>
      <c r="H808" s="20">
        <v>2.9</v>
      </c>
      <c r="J808" t="s">
        <v>656</v>
      </c>
      <c r="K808" s="22" t="str">
        <f>IF(H808="",IF(I808="","point","middle"),"span")</f>
        <v>span</v>
      </c>
      <c r="M808" s="23">
        <f>(G808-239793000)/3600</f>
        <v>157.4500000000331</v>
      </c>
      <c r="N808" s="23">
        <f>IF(M808=0,0, IF(M808&gt;0,LOG10(M808), -LOG10(-1*M808)))</f>
        <v>2.1971426649726542</v>
      </c>
      <c r="O808" t="s">
        <v>462</v>
      </c>
      <c r="P808">
        <v>4</v>
      </c>
      <c r="S808" t="s">
        <v>1214</v>
      </c>
    </row>
    <row r="809" spans="1:19" x14ac:dyDescent="0.4">
      <c r="A809" t="s">
        <v>1413</v>
      </c>
      <c r="B809" s="24">
        <v>1977</v>
      </c>
      <c r="C809" s="24">
        <v>8</v>
      </c>
      <c r="D809" s="24">
        <v>14</v>
      </c>
      <c r="E809" s="24">
        <v>1</v>
      </c>
      <c r="F809" s="24">
        <v>35</v>
      </c>
      <c r="G809" s="20">
        <f>(IF(C809="",DATE(B809,7,1),IF(D809="",DATE(B809,C809,16), IF(E809="",DATE(B809,C809,D809)+TIME(12,0,0), IF(F809="", DATE(B809,C809,D809)+TIME(E809,0,0),DATE(B809,C809,D809)+TIME(E809,F809,0))))) - 25569)*86400</f>
        <v>240370500.00000003</v>
      </c>
      <c r="J809" t="s">
        <v>656</v>
      </c>
      <c r="K809" s="22" t="str">
        <f>IF(H809="",IF(I809="","point","middle"),"span")</f>
        <v>point</v>
      </c>
      <c r="M809" s="23">
        <f>(G809-239793000)/3600</f>
        <v>160.41666666667496</v>
      </c>
      <c r="N809" s="23">
        <f>IF(M809=0,0, IF(M809&gt;0,LOG10(M809), -LOG10(-1*M809)))</f>
        <v>2.2052494877969169</v>
      </c>
      <c r="O809" t="s">
        <v>462</v>
      </c>
      <c r="P809">
        <v>4</v>
      </c>
      <c r="S809" t="s">
        <v>1214</v>
      </c>
    </row>
    <row r="810" spans="1:19" x14ac:dyDescent="0.4">
      <c r="A810" t="s">
        <v>1413</v>
      </c>
      <c r="B810" s="24">
        <v>1977</v>
      </c>
      <c r="C810" s="24">
        <v>8</v>
      </c>
      <c r="D810" s="24">
        <v>14</v>
      </c>
      <c r="E810" s="24">
        <v>2</v>
      </c>
      <c r="F810" s="24">
        <v>0</v>
      </c>
      <c r="G810" s="20">
        <f>(IF(C810="",DATE(B810,7,1),IF(D810="",DATE(B810,C810,16), IF(E810="",DATE(B810,C810,D810)+TIME(12,0,0), IF(F810="", DATE(B810,C810,D810)+TIME(E810,0,0),DATE(B810,C810,D810)+TIME(E810,F810,0))))) - 25569)*86400</f>
        <v>240371999.99999988</v>
      </c>
      <c r="J810" t="s">
        <v>656</v>
      </c>
      <c r="K810" s="22" t="str">
        <f>IF(H810="",IF(I810="","point","middle"),"span")</f>
        <v>point</v>
      </c>
      <c r="M810" s="23">
        <f>(G810-239793000)/3600</f>
        <v>160.83333333330023</v>
      </c>
      <c r="N810" s="23">
        <f>IF(M810=0,0, IF(M810&gt;0,LOG10(M810), -LOG10(-1*M810)))</f>
        <v>2.2063760629600595</v>
      </c>
      <c r="O810" t="s">
        <v>462</v>
      </c>
      <c r="P810">
        <v>4</v>
      </c>
      <c r="S810" t="s">
        <v>1214</v>
      </c>
    </row>
    <row r="811" spans="1:19" x14ac:dyDescent="0.4">
      <c r="A811" t="s">
        <v>1413</v>
      </c>
      <c r="B811" s="24">
        <v>1977</v>
      </c>
      <c r="C811" s="24">
        <v>8</v>
      </c>
      <c r="D811" s="24">
        <v>14</v>
      </c>
      <c r="G811" s="20">
        <f>(IF(C811="",DATE(B811,7,1),IF(D811="",DATE(B811,C811,16), IF(E811="",DATE(B811,C811,D811)+TIME(12,0,0), IF(F811="", DATE(B811,C811,D811)+TIME(E811,0,0),DATE(B811,C811,D811)+TIME(E811,F811,0))))) - 25569)*86400</f>
        <v>240408000</v>
      </c>
      <c r="H811" s="20">
        <f>(5*365-5*30)*24</f>
        <v>40200</v>
      </c>
      <c r="J811" t="s">
        <v>656</v>
      </c>
      <c r="K811" s="22" t="str">
        <f>IF(H811="",IF(I811="","point","middle"),"span")</f>
        <v>span</v>
      </c>
      <c r="M811" s="23">
        <f>(G811-239793000)/3600</f>
        <v>170.83333333333334</v>
      </c>
      <c r="N811" s="23">
        <f>IF(M811=0,0, IF(M811&gt;0,LOG10(M811), -LOG10(-1*M811)))</f>
        <v>2.2325726150081295</v>
      </c>
      <c r="O811" t="s">
        <v>486</v>
      </c>
      <c r="P811">
        <v>2</v>
      </c>
      <c r="Q811" t="s">
        <v>1004</v>
      </c>
      <c r="S811" t="s">
        <v>1003</v>
      </c>
    </row>
    <row r="812" spans="1:19" x14ac:dyDescent="0.4">
      <c r="A812" t="s">
        <v>1413</v>
      </c>
      <c r="B812" s="24">
        <v>1977</v>
      </c>
      <c r="C812" s="24">
        <v>11</v>
      </c>
      <c r="D812" s="24">
        <v>16</v>
      </c>
      <c r="G812" s="20">
        <f t="shared" si="147"/>
        <v>248529600</v>
      </c>
      <c r="J812" t="s">
        <v>656</v>
      </c>
      <c r="K812" s="22" t="str">
        <f t="shared" ref="K812" si="171">IF(H812="",IF(I812="","point","middle"),"span")</f>
        <v>point</v>
      </c>
      <c r="M812" s="23">
        <f t="shared" ref="M812" si="172">(G812-239793000)/3600</f>
        <v>2426.8333333333335</v>
      </c>
      <c r="N812" s="23">
        <f t="shared" ref="N812" si="173">IF(M812=0,0, IF(M812&gt;0,LOG10(M812), -LOG10(-1*M812)))</f>
        <v>3.3850399514868244</v>
      </c>
      <c r="O812" t="s">
        <v>462</v>
      </c>
      <c r="P812">
        <v>3</v>
      </c>
      <c r="Q812" t="s">
        <v>1002</v>
      </c>
      <c r="S812" t="s">
        <v>1214</v>
      </c>
    </row>
    <row r="813" spans="1:19" x14ac:dyDescent="0.4">
      <c r="A813" t="s">
        <v>1413</v>
      </c>
      <c r="B813" s="24">
        <v>1978</v>
      </c>
      <c r="C813" s="24">
        <v>1</v>
      </c>
      <c r="G813" s="20">
        <f t="shared" si="147"/>
        <v>253756800</v>
      </c>
      <c r="J813" t="s">
        <v>656</v>
      </c>
      <c r="K813" s="22" t="str">
        <f t="shared" ref="K813" si="174">IF(H813="",IF(I813="","point","middle"),"span")</f>
        <v>point</v>
      </c>
      <c r="M813" s="23">
        <f t="shared" ref="M813" si="175">(G813-239793000)/3600</f>
        <v>3878.8333333333335</v>
      </c>
      <c r="N813" s="23">
        <f t="shared" ref="N813" si="176">IF(M813=0,0, IF(M813&gt;0,LOG10(M813), -LOG10(-1*M813)))</f>
        <v>3.5887011191286202</v>
      </c>
      <c r="O813" t="s">
        <v>462</v>
      </c>
      <c r="P813">
        <v>3</v>
      </c>
      <c r="Q813" t="s">
        <v>1002</v>
      </c>
      <c r="S813" t="s">
        <v>1214</v>
      </c>
    </row>
    <row r="814" spans="1:19" x14ac:dyDescent="0.4">
      <c r="A814" t="s">
        <v>1413</v>
      </c>
      <c r="B814" s="24">
        <v>1978</v>
      </c>
      <c r="C814" s="24">
        <v>7</v>
      </c>
      <c r="G814" s="20">
        <f t="shared" si="147"/>
        <v>269395200</v>
      </c>
      <c r="H814" s="20">
        <f>3*30*24</f>
        <v>2160</v>
      </c>
      <c r="J814" t="s">
        <v>656</v>
      </c>
      <c r="K814" s="22" t="str">
        <f t="shared" ref="K814:K815" si="177">IF(H814="",IF(I814="","point","middle"),"span")</f>
        <v>span</v>
      </c>
      <c r="M814" s="23">
        <f t="shared" ref="M814:M816" si="178">(G814-239793000)/3600</f>
        <v>8222.8333333333339</v>
      </c>
      <c r="N814" s="23">
        <f t="shared" ref="N814:N816" si="179">IF(M814=0,0, IF(M814&gt;0,LOG10(M814), -LOG10(-1*M814)))</f>
        <v>3.9150214877360918</v>
      </c>
      <c r="O814" t="s">
        <v>462</v>
      </c>
      <c r="P814">
        <v>4</v>
      </c>
      <c r="Q814" t="s">
        <v>1005</v>
      </c>
      <c r="S814" t="s">
        <v>1001</v>
      </c>
    </row>
    <row r="815" spans="1:19" x14ac:dyDescent="0.4">
      <c r="A815" t="s">
        <v>1413</v>
      </c>
      <c r="B815" s="24">
        <v>1978</v>
      </c>
      <c r="C815" s="24">
        <v>10</v>
      </c>
      <c r="D815" s="24">
        <v>27</v>
      </c>
      <c r="G815" s="20">
        <f t="shared" ref="G815:G878" si="180">(IF(C815="",DATE(B815,7,1),IF(D815="",DATE(B815,C815,16), IF(E815="",DATE(B815,C815,D815)+TIME(12,0,0), IF(F815="", DATE(B815,C815,D815)+TIME(E815,0,0),DATE(B815,C815,D815)+TIME(E815,F815,0))))) - 25569)*86400</f>
        <v>278337600</v>
      </c>
      <c r="H815" s="20">
        <f>3*30*24</f>
        <v>2160</v>
      </c>
      <c r="J815" t="s">
        <v>656</v>
      </c>
      <c r="K815" s="22" t="str">
        <f t="shared" si="177"/>
        <v>span</v>
      </c>
      <c r="L815" s="20" t="s">
        <v>998</v>
      </c>
      <c r="M815" s="23">
        <f t="shared" si="178"/>
        <v>10706.833333333334</v>
      </c>
      <c r="N815" s="23">
        <f t="shared" si="179"/>
        <v>4.0296610423337693</v>
      </c>
      <c r="O815" t="s">
        <v>462</v>
      </c>
      <c r="P815">
        <v>3</v>
      </c>
      <c r="Q815" t="s">
        <v>1006</v>
      </c>
      <c r="S815" t="s">
        <v>1001</v>
      </c>
    </row>
    <row r="816" spans="1:19" x14ac:dyDescent="0.4">
      <c r="A816" t="s">
        <v>1413</v>
      </c>
      <c r="B816" s="24">
        <v>2000</v>
      </c>
      <c r="C816" s="24">
        <v>3</v>
      </c>
      <c r="D816" s="24">
        <v>27</v>
      </c>
      <c r="E816" s="24">
        <v>15</v>
      </c>
      <c r="G816" s="20">
        <f t="shared" si="180"/>
        <v>954169200</v>
      </c>
      <c r="H816" s="20">
        <f>4*24</f>
        <v>96</v>
      </c>
      <c r="J816" t="s">
        <v>656</v>
      </c>
      <c r="K816" s="22" t="str">
        <f t="shared" ref="K816:K820" si="181">IF(H816="",IF(I816="","point","middle"),"span")</f>
        <v>span</v>
      </c>
      <c r="M816" s="23">
        <f t="shared" si="178"/>
        <v>198437.83333333334</v>
      </c>
      <c r="N816" s="23">
        <f t="shared" si="179"/>
        <v>5.2976244764949962</v>
      </c>
      <c r="O816" t="s">
        <v>999</v>
      </c>
      <c r="P816">
        <v>2</v>
      </c>
      <c r="Q816" t="s">
        <v>1008</v>
      </c>
      <c r="S816" t="s">
        <v>1001</v>
      </c>
    </row>
    <row r="817" spans="1:19" x14ac:dyDescent="0.4">
      <c r="A817" t="s">
        <v>1413</v>
      </c>
      <c r="B817" s="24">
        <v>2000</v>
      </c>
      <c r="C817" s="24">
        <v>3</v>
      </c>
      <c r="D817" s="24">
        <v>30</v>
      </c>
      <c r="G817" s="20">
        <f t="shared" si="180"/>
        <v>954417600</v>
      </c>
      <c r="H817" s="20">
        <v>24</v>
      </c>
      <c r="J817" t="s">
        <v>656</v>
      </c>
      <c r="K817" s="22" t="str">
        <f t="shared" si="181"/>
        <v>span</v>
      </c>
      <c r="M817" s="23">
        <f t="shared" ref="M817:M821" si="182">(G817-239793000)/3600</f>
        <v>198506.83333333334</v>
      </c>
      <c r="N817" s="23">
        <f t="shared" ref="N817:N828" si="183">IF(M817=0,0, IF(M817&gt;0,LOG10(M817), -LOG10(-1*M817)))</f>
        <v>5.2977754613655312</v>
      </c>
      <c r="O817" t="s">
        <v>999</v>
      </c>
      <c r="P817">
        <v>2</v>
      </c>
      <c r="Q817" t="s">
        <v>1009</v>
      </c>
      <c r="S817" t="s">
        <v>1001</v>
      </c>
    </row>
    <row r="818" spans="1:19" x14ac:dyDescent="0.4">
      <c r="A818" t="s">
        <v>1413</v>
      </c>
      <c r="B818" s="24">
        <v>2000</v>
      </c>
      <c r="C818" s="24">
        <v>3</v>
      </c>
      <c r="D818" s="24">
        <v>31</v>
      </c>
      <c r="E818" s="24">
        <v>13</v>
      </c>
      <c r="F818" s="24">
        <v>7</v>
      </c>
      <c r="G818" s="20">
        <f t="shared" si="180"/>
        <v>954508019.99999988</v>
      </c>
      <c r="J818" t="s">
        <v>656</v>
      </c>
      <c r="K818" s="22" t="str">
        <f t="shared" si="181"/>
        <v>point</v>
      </c>
      <c r="M818" s="23">
        <f t="shared" si="182"/>
        <v>198531.94999999995</v>
      </c>
      <c r="N818" s="23">
        <f t="shared" si="183"/>
        <v>5.2978304082886511</v>
      </c>
      <c r="O818" t="s">
        <v>462</v>
      </c>
      <c r="P818">
        <v>4</v>
      </c>
      <c r="Q818" t="s">
        <v>1010</v>
      </c>
      <c r="S818" t="s">
        <v>1001</v>
      </c>
    </row>
    <row r="819" spans="1:19" x14ac:dyDescent="0.4">
      <c r="A819" t="s">
        <v>1413</v>
      </c>
      <c r="B819" s="24">
        <v>2000</v>
      </c>
      <c r="C819" s="24">
        <v>4</v>
      </c>
      <c r="D819" s="24">
        <v>1</v>
      </c>
      <c r="E819" s="24">
        <v>11</v>
      </c>
      <c r="F819" s="24">
        <v>30</v>
      </c>
      <c r="G819" s="20">
        <f t="shared" si="180"/>
        <v>954588599.99999976</v>
      </c>
      <c r="J819" t="s">
        <v>656</v>
      </c>
      <c r="K819" s="22" t="str">
        <f t="shared" si="181"/>
        <v>point</v>
      </c>
      <c r="M819" s="23">
        <f t="shared" si="182"/>
        <v>198554.33333333326</v>
      </c>
      <c r="N819" s="23">
        <f t="shared" si="183"/>
        <v>5.2978793697288795</v>
      </c>
      <c r="O819" t="s">
        <v>462</v>
      </c>
      <c r="P819">
        <v>3</v>
      </c>
      <c r="Q819" t="s">
        <v>1011</v>
      </c>
      <c r="S819" t="s">
        <v>1001</v>
      </c>
    </row>
    <row r="820" spans="1:19" x14ac:dyDescent="0.4">
      <c r="A820" t="s">
        <v>1413</v>
      </c>
      <c r="B820" s="24">
        <v>2000</v>
      </c>
      <c r="C820" s="24">
        <v>4</v>
      </c>
      <c r="D820" s="24">
        <v>1</v>
      </c>
      <c r="G820" s="20">
        <f t="shared" si="180"/>
        <v>954590400</v>
      </c>
      <c r="H820" s="20">
        <f>5*30*24</f>
        <v>3600</v>
      </c>
      <c r="J820" t="s">
        <v>656</v>
      </c>
      <c r="K820" s="22" t="str">
        <f t="shared" si="181"/>
        <v>span</v>
      </c>
      <c r="M820" s="23">
        <f t="shared" si="182"/>
        <v>198554.83333333334</v>
      </c>
      <c r="N820" s="23">
        <f t="shared" si="183"/>
        <v>5.2978804633689123</v>
      </c>
      <c r="O820" t="s">
        <v>462</v>
      </c>
      <c r="P820">
        <v>3</v>
      </c>
      <c r="Q820" t="s">
        <v>1012</v>
      </c>
      <c r="S820" t="s">
        <v>1001</v>
      </c>
    </row>
    <row r="821" spans="1:19" x14ac:dyDescent="0.4">
      <c r="A821" t="s">
        <v>1413</v>
      </c>
      <c r="B821" s="24">
        <v>2015</v>
      </c>
      <c r="C821" s="24">
        <v>4</v>
      </c>
      <c r="D821" s="24">
        <v>19</v>
      </c>
      <c r="G821" s="20">
        <f t="shared" si="180"/>
        <v>1429444800</v>
      </c>
      <c r="H821" s="20">
        <v>48</v>
      </c>
      <c r="J821" t="s">
        <v>656</v>
      </c>
      <c r="K821" s="22" t="str">
        <f t="shared" ref="K821" si="184">IF(H821="",IF(I821="","point","middle"),"span")</f>
        <v>span</v>
      </c>
      <c r="M821" s="23">
        <f t="shared" si="182"/>
        <v>330458.83333333331</v>
      </c>
      <c r="N821" s="23">
        <f t="shared" si="183"/>
        <v>5.5191173652748411</v>
      </c>
      <c r="O821" t="s">
        <v>999</v>
      </c>
      <c r="P821">
        <v>2</v>
      </c>
      <c r="Q821" t="s">
        <v>1007</v>
      </c>
      <c r="S821" t="s">
        <v>1001</v>
      </c>
    </row>
    <row r="822" spans="1:19" x14ac:dyDescent="0.4">
      <c r="A822" t="s">
        <v>1414</v>
      </c>
      <c r="B822" s="24">
        <v>1808</v>
      </c>
      <c r="G822" s="20">
        <f t="shared" si="180"/>
        <v>54861667200</v>
      </c>
      <c r="J822" t="s">
        <v>656</v>
      </c>
      <c r="K822" s="22" t="str">
        <f t="shared" ref="K822:K845" si="185">IF(H822="",IF(I822="","point","middle"),"span")</f>
        <v>point</v>
      </c>
      <c r="M822" s="23">
        <f t="shared" ref="M822:M828" si="186">(G822--216734400)/3600</f>
        <v>15299556</v>
      </c>
      <c r="N822" s="23">
        <f t="shared" si="183"/>
        <v>7.184678827579174</v>
      </c>
      <c r="O822" t="s">
        <v>462</v>
      </c>
      <c r="P822">
        <v>4</v>
      </c>
      <c r="S822" t="s">
        <v>867</v>
      </c>
    </row>
    <row r="823" spans="1:19" x14ac:dyDescent="0.4">
      <c r="A823" t="s">
        <v>1414</v>
      </c>
      <c r="B823" s="24">
        <v>1821</v>
      </c>
      <c r="C823" s="24">
        <v>3</v>
      </c>
      <c r="D823" s="24">
        <v>16</v>
      </c>
      <c r="G823" s="20">
        <f t="shared" si="180"/>
        <v>55262692800</v>
      </c>
      <c r="J823" t="s">
        <v>656</v>
      </c>
      <c r="K823" s="22" t="str">
        <f t="shared" si="185"/>
        <v>point</v>
      </c>
      <c r="M823" s="23">
        <f t="shared" si="186"/>
        <v>15410952</v>
      </c>
      <c r="N823" s="23">
        <f t="shared" si="183"/>
        <v>7.1878294677629535</v>
      </c>
      <c r="O823" t="s">
        <v>462</v>
      </c>
      <c r="P823">
        <v>4</v>
      </c>
      <c r="Q823" t="s">
        <v>1063</v>
      </c>
      <c r="S823" t="s">
        <v>867</v>
      </c>
    </row>
    <row r="824" spans="1:19" x14ac:dyDescent="0.4">
      <c r="A824" t="s">
        <v>1414</v>
      </c>
      <c r="B824" s="24">
        <v>1843</v>
      </c>
      <c r="G824" s="20">
        <f t="shared" si="180"/>
        <v>55966118400</v>
      </c>
      <c r="J824" t="s">
        <v>656</v>
      </c>
      <c r="K824" s="22" t="str">
        <f t="shared" si="185"/>
        <v>point</v>
      </c>
      <c r="M824" s="23">
        <f t="shared" si="186"/>
        <v>15606348</v>
      </c>
      <c r="N824" s="23">
        <f t="shared" si="183"/>
        <v>7.1933012868544521</v>
      </c>
      <c r="O824" t="s">
        <v>462</v>
      </c>
      <c r="P824">
        <v>6</v>
      </c>
      <c r="S824" t="s">
        <v>867</v>
      </c>
    </row>
    <row r="825" spans="1:19" x14ac:dyDescent="0.4">
      <c r="A825" t="s">
        <v>1414</v>
      </c>
      <c r="B825" s="24">
        <v>1908</v>
      </c>
      <c r="G825" s="20">
        <f t="shared" si="180"/>
        <v>-1940889600</v>
      </c>
      <c r="J825" t="s">
        <v>656</v>
      </c>
      <c r="K825" s="22" t="str">
        <f t="shared" si="185"/>
        <v>point</v>
      </c>
      <c r="M825" s="23">
        <f t="shared" si="186"/>
        <v>-478932</v>
      </c>
      <c r="N825" s="23">
        <f t="shared" si="183"/>
        <v>-5.6802738555415218</v>
      </c>
      <c r="O825" t="s">
        <v>462</v>
      </c>
      <c r="P825">
        <v>2</v>
      </c>
      <c r="Q825" t="s">
        <v>1064</v>
      </c>
      <c r="S825" t="s">
        <v>1065</v>
      </c>
    </row>
    <row r="826" spans="1:19" x14ac:dyDescent="0.4">
      <c r="A826" t="s">
        <v>1414</v>
      </c>
      <c r="B826" s="24">
        <v>1915</v>
      </c>
      <c r="G826" s="20">
        <f t="shared" si="180"/>
        <v>-1720051200</v>
      </c>
      <c r="J826" t="s">
        <v>656</v>
      </c>
      <c r="K826" s="22" t="str">
        <f t="shared" si="185"/>
        <v>point</v>
      </c>
      <c r="M826" s="23">
        <f t="shared" si="186"/>
        <v>-417588</v>
      </c>
      <c r="N826" s="23">
        <f t="shared" si="183"/>
        <v>-5.6207480100884046</v>
      </c>
      <c r="O826" t="s">
        <v>462</v>
      </c>
      <c r="P826">
        <v>2</v>
      </c>
      <c r="Q826" t="s">
        <v>1064</v>
      </c>
      <c r="S826" t="s">
        <v>1065</v>
      </c>
    </row>
    <row r="827" spans="1:19" x14ac:dyDescent="0.4">
      <c r="A827" t="s">
        <v>1414</v>
      </c>
      <c r="B827" s="24">
        <v>1917</v>
      </c>
      <c r="G827" s="20">
        <f t="shared" si="180"/>
        <v>-1656892800</v>
      </c>
      <c r="J827" t="s">
        <v>656</v>
      </c>
      <c r="K827" s="22" t="str">
        <f t="shared" si="185"/>
        <v>point</v>
      </c>
      <c r="M827" s="23">
        <f t="shared" si="186"/>
        <v>-400044</v>
      </c>
      <c r="N827" s="23">
        <f t="shared" si="183"/>
        <v>-5.6021077610936825</v>
      </c>
      <c r="O827" t="s">
        <v>462</v>
      </c>
      <c r="P827">
        <v>2</v>
      </c>
      <c r="Q827" t="s">
        <v>1064</v>
      </c>
      <c r="S827" t="s">
        <v>1065</v>
      </c>
    </row>
    <row r="828" spans="1:19" x14ac:dyDescent="0.4">
      <c r="A828" t="s">
        <v>1414</v>
      </c>
      <c r="B828" s="24">
        <v>1963</v>
      </c>
      <c r="C828" s="24">
        <v>2</v>
      </c>
      <c r="D828" s="24">
        <v>16</v>
      </c>
      <c r="G828" s="20">
        <f t="shared" si="180"/>
        <v>-216907200</v>
      </c>
      <c r="H828" s="20">
        <v>48</v>
      </c>
      <c r="J828" t="s">
        <v>656</v>
      </c>
      <c r="K828" s="22" t="str">
        <f t="shared" si="185"/>
        <v>span</v>
      </c>
      <c r="M828" s="23">
        <f t="shared" si="186"/>
        <v>-48</v>
      </c>
      <c r="N828" s="23">
        <f t="shared" si="183"/>
        <v>-1.6812412373755872</v>
      </c>
      <c r="O828" t="s">
        <v>999</v>
      </c>
      <c r="P828">
        <v>2</v>
      </c>
      <c r="Q828" t="s">
        <v>1066</v>
      </c>
      <c r="S828" t="s">
        <v>1068</v>
      </c>
    </row>
    <row r="829" spans="1:19" x14ac:dyDescent="0.4">
      <c r="A829" t="s">
        <v>1414</v>
      </c>
      <c r="B829" s="24">
        <v>1963</v>
      </c>
      <c r="C829" s="24">
        <v>2</v>
      </c>
      <c r="D829" s="24">
        <v>18</v>
      </c>
      <c r="G829" s="20">
        <f t="shared" si="180"/>
        <v>-216734400</v>
      </c>
      <c r="H829" s="20">
        <f>30*24</f>
        <v>720</v>
      </c>
      <c r="J829" t="s">
        <v>656</v>
      </c>
      <c r="K829" s="22" t="str">
        <f t="shared" si="185"/>
        <v>span</v>
      </c>
      <c r="L829" s="20" t="s">
        <v>997</v>
      </c>
      <c r="M829" s="23">
        <f>(G829--216734400)/3600</f>
        <v>0</v>
      </c>
      <c r="N829" s="23">
        <f t="shared" ref="N829" si="187">IF(M829=0,0, IF(M829&gt;0,LOG10(M829), -LOG10(-1*M829)))</f>
        <v>0</v>
      </c>
      <c r="O829" t="s">
        <v>462</v>
      </c>
      <c r="P829">
        <v>4</v>
      </c>
      <c r="Q829" t="s">
        <v>1069</v>
      </c>
      <c r="S829" t="s">
        <v>1068</v>
      </c>
    </row>
    <row r="830" spans="1:19" x14ac:dyDescent="0.4">
      <c r="A830" t="s">
        <v>1414</v>
      </c>
      <c r="B830" s="24">
        <v>1963</v>
      </c>
      <c r="C830" s="24">
        <v>2</v>
      </c>
      <c r="D830" s="24">
        <v>19</v>
      </c>
      <c r="G830" s="20">
        <f t="shared" si="180"/>
        <v>-216648000</v>
      </c>
      <c r="H830" s="20">
        <f>26*24</f>
        <v>624</v>
      </c>
      <c r="J830" t="s">
        <v>656</v>
      </c>
      <c r="K830" s="22" t="str">
        <f t="shared" si="185"/>
        <v>span</v>
      </c>
      <c r="M830" s="23">
        <f t="shared" ref="M830:M838" si="188">(G830--216734400)/3600</f>
        <v>24</v>
      </c>
      <c r="N830" s="23">
        <f t="shared" ref="N830:N838" si="189">IF(M830=0,0, IF(M830&gt;0,LOG10(M830), -LOG10(-1*M830)))</f>
        <v>1.3802112417116059</v>
      </c>
      <c r="O830" t="s">
        <v>462</v>
      </c>
      <c r="P830">
        <v>3</v>
      </c>
      <c r="Q830" t="s">
        <v>1067</v>
      </c>
      <c r="S830" t="s">
        <v>1068</v>
      </c>
    </row>
    <row r="831" spans="1:19" x14ac:dyDescent="0.4">
      <c r="A831" t="s">
        <v>1414</v>
      </c>
      <c r="B831" s="24">
        <v>1963</v>
      </c>
      <c r="C831" s="24">
        <v>3</v>
      </c>
      <c r="D831" s="24">
        <v>17</v>
      </c>
      <c r="E831" s="24">
        <v>5</v>
      </c>
      <c r="F831" s="24">
        <v>30</v>
      </c>
      <c r="G831" s="20">
        <f t="shared" si="180"/>
        <v>-214424999.99999988</v>
      </c>
      <c r="H831" s="20">
        <v>3.5</v>
      </c>
      <c r="J831" t="s">
        <v>656</v>
      </c>
      <c r="K831" s="22" t="str">
        <f t="shared" si="185"/>
        <v>span</v>
      </c>
      <c r="L831" s="20" t="s">
        <v>1076</v>
      </c>
      <c r="M831" s="23">
        <f t="shared" si="188"/>
        <v>641.50000000003308</v>
      </c>
      <c r="N831" s="23">
        <f t="shared" si="189"/>
        <v>2.8071966607109697</v>
      </c>
      <c r="O831" t="s">
        <v>462</v>
      </c>
      <c r="P831">
        <v>6</v>
      </c>
      <c r="Q831" t="s">
        <v>1074</v>
      </c>
      <c r="S831" t="s">
        <v>1068</v>
      </c>
    </row>
    <row r="832" spans="1:19" x14ac:dyDescent="0.4">
      <c r="A832" t="s">
        <v>1414</v>
      </c>
      <c r="B832" s="24">
        <v>1963</v>
      </c>
      <c r="C832" s="24">
        <v>3</v>
      </c>
      <c r="D832" s="24">
        <v>17</v>
      </c>
      <c r="E832" s="24">
        <v>9</v>
      </c>
      <c r="F832" s="24">
        <v>0</v>
      </c>
      <c r="G832" s="20">
        <f t="shared" si="180"/>
        <v>-214412400</v>
      </c>
      <c r="H832" s="20">
        <v>3.5</v>
      </c>
      <c r="J832" t="s">
        <v>656</v>
      </c>
      <c r="K832" s="22" t="str">
        <f t="shared" si="185"/>
        <v>span</v>
      </c>
      <c r="M832" s="23">
        <f t="shared" si="188"/>
        <v>645</v>
      </c>
      <c r="N832" s="23">
        <f t="shared" si="189"/>
        <v>2.8095597146352675</v>
      </c>
      <c r="O832" t="s">
        <v>462</v>
      </c>
      <c r="P832">
        <v>5</v>
      </c>
      <c r="S832" t="s">
        <v>1068</v>
      </c>
    </row>
    <row r="833" spans="1:19" x14ac:dyDescent="0.4">
      <c r="A833" t="s">
        <v>1414</v>
      </c>
      <c r="B833" s="24">
        <v>1963</v>
      </c>
      <c r="C833" s="24">
        <v>3</v>
      </c>
      <c r="D833" s="24">
        <v>17</v>
      </c>
      <c r="G833" s="20">
        <f t="shared" si="180"/>
        <v>-214401600</v>
      </c>
      <c r="H833" s="20">
        <f>45*24</f>
        <v>1080</v>
      </c>
      <c r="J833" t="s">
        <v>656</v>
      </c>
      <c r="K833" s="22" t="str">
        <f t="shared" si="185"/>
        <v>span</v>
      </c>
      <c r="M833" s="23">
        <f t="shared" si="188"/>
        <v>648</v>
      </c>
      <c r="N833" s="23">
        <f t="shared" si="189"/>
        <v>2.8115750058705933</v>
      </c>
      <c r="O833" t="s">
        <v>462</v>
      </c>
      <c r="P833">
        <v>4</v>
      </c>
      <c r="Q833" t="s">
        <v>1070</v>
      </c>
      <c r="S833" t="s">
        <v>1068</v>
      </c>
    </row>
    <row r="834" spans="1:19" x14ac:dyDescent="0.4">
      <c r="A834" t="s">
        <v>1414</v>
      </c>
      <c r="B834" s="24">
        <v>1963</v>
      </c>
      <c r="C834" s="24">
        <v>5</v>
      </c>
      <c r="D834" s="24">
        <v>11</v>
      </c>
      <c r="G834" s="20">
        <f t="shared" si="180"/>
        <v>-209649600</v>
      </c>
      <c r="H834" s="20">
        <f>4*24</f>
        <v>96</v>
      </c>
      <c r="J834" t="s">
        <v>656</v>
      </c>
      <c r="K834" s="22" t="str">
        <f t="shared" si="185"/>
        <v>span</v>
      </c>
      <c r="M834" s="23">
        <f t="shared" si="188"/>
        <v>1968</v>
      </c>
      <c r="N834" s="23">
        <f t="shared" si="189"/>
        <v>3.2940250940953226</v>
      </c>
      <c r="O834" t="s">
        <v>462</v>
      </c>
      <c r="P834">
        <v>1</v>
      </c>
      <c r="Q834" t="s">
        <v>1071</v>
      </c>
      <c r="S834" t="s">
        <v>1068</v>
      </c>
    </row>
    <row r="835" spans="1:19" x14ac:dyDescent="0.4">
      <c r="A835" t="s">
        <v>1414</v>
      </c>
      <c r="B835" s="24">
        <v>1963</v>
      </c>
      <c r="C835" s="24">
        <v>5</v>
      </c>
      <c r="D835" s="24">
        <v>16</v>
      </c>
      <c r="G835" s="20">
        <f t="shared" si="180"/>
        <v>-209217600</v>
      </c>
      <c r="H835" s="20">
        <v>4.5</v>
      </c>
      <c r="J835" t="s">
        <v>656</v>
      </c>
      <c r="K835" s="22" t="str">
        <f t="shared" si="185"/>
        <v>span</v>
      </c>
      <c r="M835" s="23">
        <f t="shared" si="188"/>
        <v>2088</v>
      </c>
      <c r="N835" s="23">
        <f t="shared" si="189"/>
        <v>3.3197304943302246</v>
      </c>
      <c r="O835" t="s">
        <v>462</v>
      </c>
      <c r="P835">
        <v>5</v>
      </c>
      <c r="Q835" t="s">
        <v>1075</v>
      </c>
      <c r="S835" t="s">
        <v>1068</v>
      </c>
    </row>
    <row r="836" spans="1:19" x14ac:dyDescent="0.4">
      <c r="A836" t="s">
        <v>1414</v>
      </c>
      <c r="B836" s="24">
        <v>1963</v>
      </c>
      <c r="C836" s="24">
        <v>5</v>
      </c>
      <c r="D836" s="24">
        <v>17</v>
      </c>
      <c r="G836" s="20">
        <f t="shared" si="180"/>
        <v>-209131200</v>
      </c>
      <c r="H836" s="20">
        <f>7*30*24</f>
        <v>5040</v>
      </c>
      <c r="J836" t="s">
        <v>656</v>
      </c>
      <c r="K836" s="22" t="str">
        <f t="shared" si="185"/>
        <v>span</v>
      </c>
      <c r="M836" s="23">
        <f t="shared" si="188"/>
        <v>2112</v>
      </c>
      <c r="N836" s="23">
        <f t="shared" si="189"/>
        <v>3.3246939138617746</v>
      </c>
      <c r="O836" t="s">
        <v>462</v>
      </c>
      <c r="P836">
        <v>4</v>
      </c>
      <c r="Q836" t="s">
        <v>1072</v>
      </c>
      <c r="S836" t="s">
        <v>1068</v>
      </c>
    </row>
    <row r="837" spans="1:19" x14ac:dyDescent="0.4">
      <c r="A837" t="s">
        <v>1414</v>
      </c>
      <c r="B837" s="24">
        <v>1963</v>
      </c>
      <c r="C837" s="24">
        <v>5</v>
      </c>
      <c r="D837" s="24">
        <v>31</v>
      </c>
      <c r="G837" s="20">
        <f t="shared" si="180"/>
        <v>-207921600</v>
      </c>
      <c r="J837" t="s">
        <v>656</v>
      </c>
      <c r="K837" s="22" t="str">
        <f t="shared" si="185"/>
        <v>point</v>
      </c>
      <c r="M837" s="23">
        <f t="shared" si="188"/>
        <v>2448</v>
      </c>
      <c r="N837" s="23">
        <f t="shared" si="189"/>
        <v>3.3888114134735234</v>
      </c>
      <c r="O837" t="s">
        <v>462</v>
      </c>
      <c r="P837">
        <v>5</v>
      </c>
      <c r="Q837" t="s">
        <v>1073</v>
      </c>
      <c r="S837" t="s">
        <v>1068</v>
      </c>
    </row>
    <row r="838" spans="1:19" x14ac:dyDescent="0.4">
      <c r="A838" t="s">
        <v>1414</v>
      </c>
      <c r="B838" s="24">
        <v>2012</v>
      </c>
      <c r="G838" s="20">
        <f t="shared" si="180"/>
        <v>1341100800</v>
      </c>
      <c r="J838" t="s">
        <v>656</v>
      </c>
      <c r="K838" s="22" t="str">
        <f t="shared" si="185"/>
        <v>point</v>
      </c>
      <c r="M838" s="23">
        <f t="shared" si="188"/>
        <v>432732</v>
      </c>
      <c r="N838" s="23">
        <f t="shared" si="189"/>
        <v>5.6362190119298532</v>
      </c>
      <c r="O838" t="s">
        <v>462</v>
      </c>
      <c r="P838">
        <v>5</v>
      </c>
    </row>
    <row r="839" spans="1:19" x14ac:dyDescent="0.4">
      <c r="A839" t="s">
        <v>1411</v>
      </c>
      <c r="B839" s="24">
        <v>2013</v>
      </c>
      <c r="C839" s="24">
        <v>9</v>
      </c>
      <c r="D839" s="24">
        <v>10</v>
      </c>
      <c r="G839" s="20">
        <f t="shared" si="180"/>
        <v>1378814400</v>
      </c>
      <c r="H839" s="20">
        <f>135*24</f>
        <v>3240</v>
      </c>
      <c r="J839" t="s">
        <v>1176</v>
      </c>
      <c r="K839" s="22" t="str">
        <f t="shared" si="185"/>
        <v>span</v>
      </c>
      <c r="O839" t="s">
        <v>464</v>
      </c>
      <c r="P839">
        <v>1</v>
      </c>
      <c r="Q839" t="s">
        <v>1174</v>
      </c>
      <c r="S839" t="s">
        <v>1175</v>
      </c>
    </row>
    <row r="840" spans="1:19" x14ac:dyDescent="0.4">
      <c r="A840" t="s">
        <v>1411</v>
      </c>
      <c r="B840" s="24">
        <v>2013</v>
      </c>
      <c r="C840" s="24">
        <v>12</v>
      </c>
      <c r="D840" s="24">
        <v>1</v>
      </c>
      <c r="G840" s="20">
        <f t="shared" si="180"/>
        <v>1385899200</v>
      </c>
      <c r="J840" t="s">
        <v>1176</v>
      </c>
      <c r="K840" s="22" t="str">
        <f t="shared" si="185"/>
        <v>point</v>
      </c>
      <c r="O840" t="s">
        <v>464</v>
      </c>
      <c r="P840">
        <v>1</v>
      </c>
      <c r="Q840" t="s">
        <v>1179</v>
      </c>
      <c r="S840" t="s">
        <v>1175</v>
      </c>
    </row>
    <row r="841" spans="1:19" x14ac:dyDescent="0.4">
      <c r="A841" t="s">
        <v>1411</v>
      </c>
      <c r="B841" s="24">
        <v>2014</v>
      </c>
      <c r="C841" s="24">
        <v>1</v>
      </c>
      <c r="D841" s="24">
        <v>1</v>
      </c>
      <c r="G841" s="20">
        <f t="shared" si="180"/>
        <v>1388577600</v>
      </c>
      <c r="J841" t="s">
        <v>1176</v>
      </c>
      <c r="K841" s="22" t="str">
        <f t="shared" si="185"/>
        <v>point</v>
      </c>
      <c r="O841" t="s">
        <v>486</v>
      </c>
      <c r="P841">
        <v>1</v>
      </c>
      <c r="Q841" t="s">
        <v>1178</v>
      </c>
      <c r="S841" t="s">
        <v>1175</v>
      </c>
    </row>
    <row r="842" spans="1:19" x14ac:dyDescent="0.4">
      <c r="A842" t="s">
        <v>1411</v>
      </c>
      <c r="B842" s="24">
        <v>2014</v>
      </c>
      <c r="C842" s="24">
        <v>1</v>
      </c>
      <c r="D842" s="24">
        <v>15</v>
      </c>
      <c r="G842" s="20">
        <f t="shared" si="180"/>
        <v>1389787200</v>
      </c>
      <c r="H842" s="20">
        <v>48</v>
      </c>
      <c r="J842" t="s">
        <v>1176</v>
      </c>
      <c r="K842" s="22" t="str">
        <f t="shared" si="185"/>
        <v>span</v>
      </c>
      <c r="O842" t="s">
        <v>464</v>
      </c>
      <c r="P842">
        <v>2</v>
      </c>
      <c r="Q842" t="s">
        <v>1180</v>
      </c>
      <c r="S842" t="s">
        <v>1175</v>
      </c>
    </row>
    <row r="843" spans="1:19" x14ac:dyDescent="0.4">
      <c r="A843" t="s">
        <v>1411</v>
      </c>
      <c r="B843" s="24">
        <v>2014</v>
      </c>
      <c r="C843" s="24">
        <v>1</v>
      </c>
      <c r="D843" s="24">
        <v>23</v>
      </c>
      <c r="G843" s="20">
        <f t="shared" si="180"/>
        <v>1390478400</v>
      </c>
      <c r="H843" s="20">
        <f>21*24</f>
        <v>504</v>
      </c>
      <c r="J843" t="s">
        <v>1176</v>
      </c>
      <c r="K843" s="22" t="str">
        <f t="shared" si="185"/>
        <v>span</v>
      </c>
      <c r="O843" t="s">
        <v>464</v>
      </c>
      <c r="P843">
        <v>1</v>
      </c>
      <c r="Q843" t="s">
        <v>1177</v>
      </c>
      <c r="S843" t="s">
        <v>1175</v>
      </c>
    </row>
    <row r="844" spans="1:19" x14ac:dyDescent="0.4">
      <c r="A844" t="s">
        <v>1411</v>
      </c>
      <c r="B844" s="24">
        <v>2014</v>
      </c>
      <c r="C844" s="24">
        <v>1</v>
      </c>
      <c r="D844" s="24">
        <v>27</v>
      </c>
      <c r="G844" s="20">
        <f t="shared" si="180"/>
        <v>1390824000</v>
      </c>
      <c r="H844" s="20">
        <v>24</v>
      </c>
      <c r="J844" t="s">
        <v>1176</v>
      </c>
      <c r="K844" s="22" t="str">
        <f t="shared" si="185"/>
        <v>span</v>
      </c>
      <c r="O844" t="s">
        <v>464</v>
      </c>
      <c r="P844">
        <v>2</v>
      </c>
      <c r="Q844" t="s">
        <v>1180</v>
      </c>
      <c r="S844" t="s">
        <v>1175</v>
      </c>
    </row>
    <row r="845" spans="1:19" x14ac:dyDescent="0.4">
      <c r="A845" t="s">
        <v>1411</v>
      </c>
      <c r="B845" s="24">
        <v>2014</v>
      </c>
      <c r="C845" s="24">
        <v>2</v>
      </c>
      <c r="D845" s="24">
        <v>2</v>
      </c>
      <c r="G845" s="20">
        <f t="shared" si="180"/>
        <v>1391342400</v>
      </c>
      <c r="H845" s="20">
        <f>11*24</f>
        <v>264</v>
      </c>
      <c r="J845" t="s">
        <v>1176</v>
      </c>
      <c r="K845" s="22" t="str">
        <f t="shared" si="185"/>
        <v>span</v>
      </c>
      <c r="O845" t="s">
        <v>464</v>
      </c>
      <c r="P845">
        <v>2</v>
      </c>
      <c r="Q845" t="s">
        <v>1181</v>
      </c>
      <c r="S845" t="s">
        <v>1175</v>
      </c>
    </row>
    <row r="846" spans="1:19" x14ac:dyDescent="0.4">
      <c r="A846" t="s">
        <v>1411</v>
      </c>
      <c r="B846" s="24">
        <v>2014</v>
      </c>
      <c r="C846" s="24">
        <v>2</v>
      </c>
      <c r="D846" s="24">
        <v>9</v>
      </c>
      <c r="G846" s="20">
        <f t="shared" si="180"/>
        <v>1391947200</v>
      </c>
      <c r="H846" s="20">
        <v>96</v>
      </c>
      <c r="J846" t="s">
        <v>1176</v>
      </c>
      <c r="K846" s="22" t="str">
        <f t="shared" ref="K846" si="190">IF(H846="",IF(I846="","point","middle"),"span")</f>
        <v>span</v>
      </c>
      <c r="O846" t="s">
        <v>464</v>
      </c>
      <c r="P846">
        <v>2</v>
      </c>
      <c r="Q846" t="s">
        <v>1196</v>
      </c>
      <c r="S846" t="s">
        <v>1175</v>
      </c>
    </row>
    <row r="847" spans="1:19" x14ac:dyDescent="0.4">
      <c r="A847" t="s">
        <v>1411</v>
      </c>
      <c r="B847" s="24">
        <v>2014</v>
      </c>
      <c r="C847" s="24">
        <v>2</v>
      </c>
      <c r="D847" s="24">
        <v>13</v>
      </c>
      <c r="E847" s="24">
        <v>21</v>
      </c>
      <c r="F847" s="24">
        <v>11</v>
      </c>
      <c r="G847" s="20">
        <f t="shared" si="180"/>
        <v>1392325860.0000002</v>
      </c>
      <c r="H847" s="20">
        <f>4/60</f>
        <v>6.6666666666666666E-2</v>
      </c>
      <c r="J847" t="s">
        <v>1176</v>
      </c>
      <c r="K847" s="22" t="str">
        <f t="shared" ref="K847" si="191">IF(H847="",IF(I847="","point","middle"),"span")</f>
        <v>span</v>
      </c>
      <c r="O847" t="s">
        <v>464</v>
      </c>
      <c r="P847">
        <v>2</v>
      </c>
      <c r="Q847" t="s">
        <v>1197</v>
      </c>
      <c r="S847" t="s">
        <v>1175</v>
      </c>
    </row>
    <row r="848" spans="1:19" x14ac:dyDescent="0.4">
      <c r="A848" t="s">
        <v>1411</v>
      </c>
      <c r="B848" s="24">
        <v>2014</v>
      </c>
      <c r="C848" s="24">
        <v>2</v>
      </c>
      <c r="D848" s="24">
        <v>13</v>
      </c>
      <c r="E848" s="24">
        <v>21</v>
      </c>
      <c r="F848" s="24">
        <v>51</v>
      </c>
      <c r="G848" s="20">
        <f t="shared" si="180"/>
        <v>1392328260</v>
      </c>
      <c r="H848" s="20">
        <f>27/60</f>
        <v>0.45</v>
      </c>
      <c r="J848" t="s">
        <v>1176</v>
      </c>
      <c r="K848" s="22" t="str">
        <f t="shared" ref="K848" si="192">IF(H848="",IF(I848="","point","middle"),"span")</f>
        <v>span</v>
      </c>
      <c r="O848" t="s">
        <v>464</v>
      </c>
      <c r="P848">
        <v>1</v>
      </c>
      <c r="Q848" t="s">
        <v>1198</v>
      </c>
      <c r="S848" t="s">
        <v>1175</v>
      </c>
    </row>
    <row r="849" spans="1:19" x14ac:dyDescent="0.4">
      <c r="A849" t="s">
        <v>1411</v>
      </c>
      <c r="B849" s="24">
        <v>2014</v>
      </c>
      <c r="C849" s="24">
        <v>2</v>
      </c>
      <c r="D849" s="24">
        <v>13</v>
      </c>
      <c r="E849" s="24">
        <v>22</v>
      </c>
      <c r="F849" s="24">
        <v>18</v>
      </c>
      <c r="G849" s="20">
        <f t="shared" si="180"/>
        <v>1392329880.0000002</v>
      </c>
      <c r="H849" s="20">
        <v>1.5</v>
      </c>
      <c r="J849" t="s">
        <v>1176</v>
      </c>
      <c r="K849" s="22" t="str">
        <f t="shared" ref="K849" si="193">IF(H849="",IF(I849="","point","middle"),"span")</f>
        <v>span</v>
      </c>
      <c r="O849" t="s">
        <v>464</v>
      </c>
      <c r="P849">
        <v>2</v>
      </c>
      <c r="Q849" t="s">
        <v>1199</v>
      </c>
      <c r="S849" t="s">
        <v>1175</v>
      </c>
    </row>
    <row r="850" spans="1:19" x14ac:dyDescent="0.4">
      <c r="A850" t="s">
        <v>1411</v>
      </c>
      <c r="B850" s="24">
        <v>2014</v>
      </c>
      <c r="C850" s="24">
        <v>2</v>
      </c>
      <c r="D850" s="24">
        <v>13</v>
      </c>
      <c r="E850" s="24">
        <v>22</v>
      </c>
      <c r="F850" s="24">
        <v>45</v>
      </c>
      <c r="G850" s="20">
        <f t="shared" si="180"/>
        <v>1392331499.9999998</v>
      </c>
      <c r="H850" s="20">
        <f>4+47/60</f>
        <v>4.7833333333333332</v>
      </c>
      <c r="J850" t="s">
        <v>1176</v>
      </c>
      <c r="K850" s="22" t="str">
        <f>IF(H850="",IF(I850="","point","middle"),"span")</f>
        <v>span</v>
      </c>
      <c r="L850" s="20" t="s">
        <v>1303</v>
      </c>
      <c r="O850" t="s">
        <v>462</v>
      </c>
      <c r="P850">
        <v>4</v>
      </c>
      <c r="Q850" t="s">
        <v>1183</v>
      </c>
      <c r="R850" t="s">
        <v>1188</v>
      </c>
      <c r="S850" t="s">
        <v>1184</v>
      </c>
    </row>
    <row r="851" spans="1:19" x14ac:dyDescent="0.4">
      <c r="A851" t="s">
        <v>1411</v>
      </c>
      <c r="B851" s="24">
        <v>2014</v>
      </c>
      <c r="C851" s="24">
        <v>2</v>
      </c>
      <c r="D851" s="24">
        <v>13</v>
      </c>
      <c r="E851" s="24">
        <v>22</v>
      </c>
      <c r="F851" s="24">
        <v>46</v>
      </c>
      <c r="G851" s="20">
        <f t="shared" si="180"/>
        <v>1392331560</v>
      </c>
      <c r="J851" t="s">
        <v>1176</v>
      </c>
      <c r="K851" s="22" t="str">
        <f t="shared" ref="K851:K854" si="194">IF(H851="",IF(I851="","point","middle"),"span")</f>
        <v>point</v>
      </c>
      <c r="O851" t="s">
        <v>462</v>
      </c>
      <c r="P851">
        <v>4</v>
      </c>
      <c r="Q851" t="s">
        <v>1182</v>
      </c>
      <c r="S851" t="s">
        <v>1184</v>
      </c>
    </row>
    <row r="852" spans="1:19" x14ac:dyDescent="0.4">
      <c r="A852" t="s">
        <v>1411</v>
      </c>
      <c r="B852" s="24">
        <v>2014</v>
      </c>
      <c r="C852" s="24">
        <v>2</v>
      </c>
      <c r="D852" s="24">
        <v>13</v>
      </c>
      <c r="E852" s="24">
        <v>22</v>
      </c>
      <c r="F852" s="24">
        <v>46</v>
      </c>
      <c r="G852" s="20">
        <f t="shared" si="180"/>
        <v>1392331560</v>
      </c>
      <c r="J852" t="s">
        <v>1176</v>
      </c>
      <c r="K852" s="22" t="str">
        <f t="shared" si="194"/>
        <v>point</v>
      </c>
      <c r="O852" t="s">
        <v>462</v>
      </c>
      <c r="P852">
        <v>4</v>
      </c>
      <c r="Q852" t="s">
        <v>1190</v>
      </c>
      <c r="S852" t="s">
        <v>1189</v>
      </c>
    </row>
    <row r="853" spans="1:19" x14ac:dyDescent="0.4">
      <c r="A853" t="s">
        <v>1411</v>
      </c>
      <c r="B853" s="24">
        <v>2014</v>
      </c>
      <c r="C853" s="24">
        <v>2</v>
      </c>
      <c r="D853" s="24">
        <v>13</v>
      </c>
      <c r="E853" s="24">
        <v>22</v>
      </c>
      <c r="F853" s="24">
        <v>46</v>
      </c>
      <c r="G853" s="20">
        <f t="shared" si="180"/>
        <v>1392331560</v>
      </c>
      <c r="H853" s="20">
        <v>0.25</v>
      </c>
      <c r="J853" t="s">
        <v>1176</v>
      </c>
      <c r="K853" s="22" t="str">
        <f t="shared" si="194"/>
        <v>span</v>
      </c>
      <c r="O853" t="s">
        <v>462</v>
      </c>
      <c r="P853">
        <v>2</v>
      </c>
      <c r="Q853" t="s">
        <v>1193</v>
      </c>
      <c r="S853" t="s">
        <v>1189</v>
      </c>
    </row>
    <row r="854" spans="1:19" x14ac:dyDescent="0.4">
      <c r="A854" t="s">
        <v>1411</v>
      </c>
      <c r="B854" s="24">
        <v>2014</v>
      </c>
      <c r="C854" s="24">
        <v>2</v>
      </c>
      <c r="D854" s="24">
        <v>13</v>
      </c>
      <c r="E854" s="24">
        <v>23</v>
      </c>
      <c r="F854" s="24">
        <v>2</v>
      </c>
      <c r="G854" s="20">
        <f t="shared" si="180"/>
        <v>1392332520</v>
      </c>
      <c r="J854" t="s">
        <v>1176</v>
      </c>
      <c r="K854" s="22" t="str">
        <f t="shared" si="194"/>
        <v>point</v>
      </c>
      <c r="O854" t="s">
        <v>462</v>
      </c>
      <c r="P854">
        <v>4</v>
      </c>
      <c r="Q854" t="s">
        <v>1191</v>
      </c>
      <c r="S854" t="s">
        <v>1192</v>
      </c>
    </row>
    <row r="855" spans="1:19" x14ac:dyDescent="0.4">
      <c r="A855" t="s">
        <v>1411</v>
      </c>
      <c r="B855" s="24">
        <v>2014</v>
      </c>
      <c r="C855" s="24">
        <v>2</v>
      </c>
      <c r="D855" s="24">
        <v>13</v>
      </c>
      <c r="E855" s="24">
        <v>23</v>
      </c>
      <c r="F855" s="24">
        <v>9</v>
      </c>
      <c r="G855" s="20">
        <f t="shared" si="180"/>
        <v>1392332940</v>
      </c>
      <c r="H855" s="20">
        <v>2.5</v>
      </c>
      <c r="J855" t="s">
        <v>1176</v>
      </c>
      <c r="K855" s="22" t="str">
        <f t="shared" ref="K855:K864" si="195">IF(H855="",IF(I855="","point","middle"),"span")</f>
        <v>span</v>
      </c>
      <c r="L855" s="20" t="s">
        <v>1304</v>
      </c>
      <c r="O855" t="s">
        <v>462</v>
      </c>
      <c r="P855">
        <v>5</v>
      </c>
      <c r="Q855" t="s">
        <v>1195</v>
      </c>
      <c r="R855" t="s">
        <v>1194</v>
      </c>
      <c r="S855" t="s">
        <v>1189</v>
      </c>
    </row>
    <row r="856" spans="1:19" x14ac:dyDescent="0.4">
      <c r="A856" t="s">
        <v>1411</v>
      </c>
      <c r="B856" s="24">
        <v>2014</v>
      </c>
      <c r="C856" s="24">
        <v>2</v>
      </c>
      <c r="D856" s="24">
        <v>13</v>
      </c>
      <c r="E856" s="24">
        <v>23</v>
      </c>
      <c r="F856" s="24">
        <v>40</v>
      </c>
      <c r="G856" s="20">
        <f t="shared" si="180"/>
        <v>1392334799.9999998</v>
      </c>
      <c r="J856" t="s">
        <v>1176</v>
      </c>
      <c r="K856" s="22" t="str">
        <f t="shared" si="195"/>
        <v>point</v>
      </c>
      <c r="O856" t="s">
        <v>462</v>
      </c>
      <c r="P856">
        <v>4</v>
      </c>
      <c r="Q856" t="s">
        <v>1200</v>
      </c>
      <c r="S856" t="s">
        <v>1175</v>
      </c>
    </row>
    <row r="857" spans="1:19" x14ac:dyDescent="0.4">
      <c r="A857" t="s">
        <v>1411</v>
      </c>
      <c r="B857" s="24">
        <v>2014</v>
      </c>
      <c r="C857" s="24">
        <v>2</v>
      </c>
      <c r="D857" s="24">
        <v>14</v>
      </c>
      <c r="E857" s="24">
        <v>0</v>
      </c>
      <c r="F857" s="24">
        <v>32</v>
      </c>
      <c r="G857" s="20">
        <f t="shared" si="180"/>
        <v>1392337920</v>
      </c>
      <c r="J857" t="s">
        <v>1176</v>
      </c>
      <c r="K857" s="22" t="str">
        <f t="shared" si="195"/>
        <v>point</v>
      </c>
      <c r="O857" t="s">
        <v>462</v>
      </c>
      <c r="P857">
        <v>5</v>
      </c>
      <c r="Q857" t="s">
        <v>1185</v>
      </c>
      <c r="S857" t="s">
        <v>1184</v>
      </c>
    </row>
    <row r="858" spans="1:19" x14ac:dyDescent="0.4">
      <c r="A858" t="s">
        <v>1411</v>
      </c>
      <c r="B858" s="24">
        <v>2014</v>
      </c>
      <c r="C858" s="24">
        <v>2</v>
      </c>
      <c r="D858" s="24">
        <v>14</v>
      </c>
      <c r="E858" s="24">
        <v>3</v>
      </c>
      <c r="F858" s="24">
        <v>32</v>
      </c>
      <c r="G858" s="20">
        <f t="shared" si="180"/>
        <v>1392348720</v>
      </c>
      <c r="J858" t="s">
        <v>1176</v>
      </c>
      <c r="K858" s="22" t="str">
        <f t="shared" si="195"/>
        <v>point</v>
      </c>
      <c r="O858" t="s">
        <v>462</v>
      </c>
      <c r="P858">
        <v>2</v>
      </c>
      <c r="Q858" t="s">
        <v>1186</v>
      </c>
      <c r="R858" t="s">
        <v>1187</v>
      </c>
      <c r="S858" t="s">
        <v>1184</v>
      </c>
    </row>
    <row r="859" spans="1:19" x14ac:dyDescent="0.4">
      <c r="A859" t="s">
        <v>1411</v>
      </c>
      <c r="B859" s="24">
        <v>2014</v>
      </c>
      <c r="C859" s="24">
        <v>2</v>
      </c>
      <c r="D859" s="24">
        <v>14</v>
      </c>
      <c r="G859" s="20">
        <f t="shared" si="180"/>
        <v>1392379200</v>
      </c>
      <c r="H859" s="20">
        <f>8*24</f>
        <v>192</v>
      </c>
      <c r="J859" t="s">
        <v>1176</v>
      </c>
      <c r="K859" s="22" t="str">
        <f t="shared" si="195"/>
        <v>span</v>
      </c>
      <c r="O859" t="s">
        <v>464</v>
      </c>
      <c r="P859">
        <v>2</v>
      </c>
      <c r="Q859" t="s">
        <v>1201</v>
      </c>
      <c r="S859" t="s">
        <v>1175</v>
      </c>
    </row>
    <row r="860" spans="1:19" x14ac:dyDescent="0.4">
      <c r="A860" t="s">
        <v>1478</v>
      </c>
      <c r="B860" s="24">
        <v>2008</v>
      </c>
      <c r="C860" s="24">
        <v>5</v>
      </c>
      <c r="D860" s="24">
        <v>1</v>
      </c>
      <c r="E860" s="24">
        <v>0</v>
      </c>
      <c r="F860" s="24">
        <v>0</v>
      </c>
      <c r="G860" s="20">
        <f t="shared" si="180"/>
        <v>1209600000</v>
      </c>
      <c r="H860" s="24">
        <v>1</v>
      </c>
      <c r="J860" t="s">
        <v>368</v>
      </c>
      <c r="K860" s="22" t="str">
        <f t="shared" si="195"/>
        <v>span</v>
      </c>
      <c r="O860" t="s">
        <v>464</v>
      </c>
      <c r="P860">
        <v>2</v>
      </c>
      <c r="Q860" t="s">
        <v>1235</v>
      </c>
      <c r="S860" t="s">
        <v>1250</v>
      </c>
    </row>
    <row r="861" spans="1:19" x14ac:dyDescent="0.4">
      <c r="A861" t="s">
        <v>1478</v>
      </c>
      <c r="B861" s="24">
        <v>2008</v>
      </c>
      <c r="C861" s="24">
        <v>5</v>
      </c>
      <c r="D861" s="24">
        <v>1</v>
      </c>
      <c r="E861" s="24">
        <v>0</v>
      </c>
      <c r="F861" s="24">
        <v>0</v>
      </c>
      <c r="G861" s="20">
        <f t="shared" si="180"/>
        <v>1209600000</v>
      </c>
      <c r="H861" s="24">
        <v>30</v>
      </c>
      <c r="J861" t="s">
        <v>368</v>
      </c>
      <c r="K861" s="22" t="str">
        <f t="shared" si="195"/>
        <v>span</v>
      </c>
      <c r="O861" t="s">
        <v>464</v>
      </c>
      <c r="P861">
        <v>2</v>
      </c>
      <c r="Q861" t="s">
        <v>1236</v>
      </c>
      <c r="S861" t="s">
        <v>1250</v>
      </c>
    </row>
    <row r="862" spans="1:19" x14ac:dyDescent="0.4">
      <c r="A862" t="s">
        <v>1478</v>
      </c>
      <c r="B862" s="24">
        <v>2008</v>
      </c>
      <c r="C862" s="24">
        <v>5</v>
      </c>
      <c r="D862" s="24">
        <v>1</v>
      </c>
      <c r="E862" s="24">
        <v>19</v>
      </c>
      <c r="F862" s="24">
        <v>58</v>
      </c>
      <c r="G862" s="20">
        <f t="shared" si="180"/>
        <v>1209671879.9999998</v>
      </c>
      <c r="J862" t="s">
        <v>368</v>
      </c>
      <c r="K862" s="22" t="str">
        <f t="shared" si="195"/>
        <v>point</v>
      </c>
      <c r="O862" t="s">
        <v>464</v>
      </c>
      <c r="P862">
        <v>2</v>
      </c>
      <c r="Q862" t="s">
        <v>1245</v>
      </c>
      <c r="S862" t="s">
        <v>1250</v>
      </c>
    </row>
    <row r="863" spans="1:19" x14ac:dyDescent="0.4">
      <c r="A863" t="s">
        <v>1478</v>
      </c>
      <c r="B863" s="24">
        <v>2008</v>
      </c>
      <c r="C863" s="24">
        <v>5</v>
      </c>
      <c r="D863" s="24">
        <v>2</v>
      </c>
      <c r="E863" s="24">
        <v>1</v>
      </c>
      <c r="F863" s="24">
        <v>0</v>
      </c>
      <c r="G863" s="20">
        <f t="shared" si="180"/>
        <v>1209689999.9999998</v>
      </c>
      <c r="J863" t="s">
        <v>368</v>
      </c>
      <c r="K863" s="22" t="str">
        <f t="shared" si="195"/>
        <v>point</v>
      </c>
      <c r="L863" s="20" t="s">
        <v>1270</v>
      </c>
      <c r="O863" t="s">
        <v>462</v>
      </c>
      <c r="P863">
        <v>4</v>
      </c>
      <c r="Q863" t="s">
        <v>1246</v>
      </c>
      <c r="S863" t="s">
        <v>1250</v>
      </c>
    </row>
    <row r="864" spans="1:19" x14ac:dyDescent="0.4">
      <c r="A864" t="s">
        <v>1478</v>
      </c>
      <c r="B864" s="24">
        <v>2008</v>
      </c>
      <c r="C864" s="24">
        <v>5</v>
      </c>
      <c r="D864" s="24">
        <v>2</v>
      </c>
      <c r="E864" s="24">
        <v>8</v>
      </c>
      <c r="F864" s="24">
        <v>0</v>
      </c>
      <c r="G864" s="20">
        <f t="shared" si="180"/>
        <v>1209715200.0000002</v>
      </c>
      <c r="H864" s="24">
        <v>6</v>
      </c>
      <c r="J864" t="s">
        <v>368</v>
      </c>
      <c r="K864" s="22" t="str">
        <f t="shared" si="195"/>
        <v>span</v>
      </c>
      <c r="L864" s="20" t="s">
        <v>1271</v>
      </c>
      <c r="O864" t="s">
        <v>462</v>
      </c>
      <c r="P864">
        <v>6</v>
      </c>
      <c r="Q864" t="s">
        <v>1248</v>
      </c>
      <c r="S864" t="s">
        <v>1250</v>
      </c>
    </row>
    <row r="865" spans="1:19" x14ac:dyDescent="0.4">
      <c r="A865" t="s">
        <v>1478</v>
      </c>
      <c r="B865" s="24">
        <v>2008</v>
      </c>
      <c r="C865" s="24">
        <v>5</v>
      </c>
      <c r="D865" s="24">
        <v>2</v>
      </c>
      <c r="E865" s="24">
        <v>14</v>
      </c>
      <c r="F865" s="24">
        <v>0</v>
      </c>
      <c r="G865" s="20">
        <f t="shared" si="180"/>
        <v>1209736800.0000002</v>
      </c>
      <c r="J865" t="s">
        <v>368</v>
      </c>
      <c r="K865" s="22" t="str">
        <f t="shared" ref="K865" si="196">IF(H865="",IF(I865="","point","middle"),"span")</f>
        <v>point</v>
      </c>
      <c r="O865" t="s">
        <v>462</v>
      </c>
      <c r="P865">
        <v>4</v>
      </c>
      <c r="Q865" t="s">
        <v>1247</v>
      </c>
      <c r="S865" t="s">
        <v>1250</v>
      </c>
    </row>
    <row r="866" spans="1:19" x14ac:dyDescent="0.4">
      <c r="A866" t="s">
        <v>1478</v>
      </c>
      <c r="B866" s="24">
        <v>2008</v>
      </c>
      <c r="C866" s="24">
        <v>5</v>
      </c>
      <c r="D866" s="24">
        <v>2</v>
      </c>
      <c r="E866" s="24">
        <v>16</v>
      </c>
      <c r="F866" s="24">
        <v>0</v>
      </c>
      <c r="G866" s="20">
        <f t="shared" si="180"/>
        <v>1209743999.9999998</v>
      </c>
      <c r="J866" t="s">
        <v>368</v>
      </c>
      <c r="K866" s="22" t="str">
        <f t="shared" ref="K866" si="197">IF(H866="",IF(I866="","point","middle"),"span")</f>
        <v>point</v>
      </c>
      <c r="O866" t="s">
        <v>462</v>
      </c>
      <c r="P866">
        <v>4</v>
      </c>
      <c r="Q866" t="s">
        <v>1249</v>
      </c>
      <c r="S866" t="s">
        <v>1250</v>
      </c>
    </row>
    <row r="867" spans="1:19" x14ac:dyDescent="0.4">
      <c r="A867" t="s">
        <v>1478</v>
      </c>
      <c r="B867" s="24">
        <v>2008</v>
      </c>
      <c r="C867" s="24">
        <v>5</v>
      </c>
      <c r="D867" s="24">
        <v>3</v>
      </c>
      <c r="G867" s="20">
        <f t="shared" si="180"/>
        <v>1209816000</v>
      </c>
      <c r="H867" s="20">
        <v>48</v>
      </c>
      <c r="J867" t="s">
        <v>368</v>
      </c>
      <c r="K867" s="22" t="str">
        <f t="shared" ref="K867" si="198">IF(H867="",IF(I867="","point","middle"),"span")</f>
        <v>span</v>
      </c>
      <c r="O867" t="s">
        <v>462</v>
      </c>
      <c r="P867">
        <v>4</v>
      </c>
      <c r="Q867" t="s">
        <v>1257</v>
      </c>
      <c r="S867" t="s">
        <v>1250</v>
      </c>
    </row>
    <row r="868" spans="1:19" x14ac:dyDescent="0.4">
      <c r="A868" t="s">
        <v>1478</v>
      </c>
      <c r="B868" s="24">
        <v>2008</v>
      </c>
      <c r="C868" s="24">
        <v>5</v>
      </c>
      <c r="D868" s="24">
        <v>3</v>
      </c>
      <c r="G868" s="20">
        <f t="shared" si="180"/>
        <v>1209816000</v>
      </c>
      <c r="H868" s="20">
        <v>24</v>
      </c>
      <c r="J868" t="s">
        <v>1254</v>
      </c>
      <c r="K868" t="s">
        <v>1255</v>
      </c>
      <c r="O868" t="s">
        <v>462</v>
      </c>
      <c r="P868">
        <v>5</v>
      </c>
      <c r="Q868" t="s">
        <v>1259</v>
      </c>
      <c r="S868" t="s">
        <v>1250</v>
      </c>
    </row>
    <row r="869" spans="1:19" x14ac:dyDescent="0.4">
      <c r="A869" t="s">
        <v>1478</v>
      </c>
      <c r="B869" s="24">
        <v>2008</v>
      </c>
      <c r="C869" s="24">
        <v>5</v>
      </c>
      <c r="D869" s="24">
        <v>3</v>
      </c>
      <c r="E869" s="24">
        <v>18</v>
      </c>
      <c r="F869" s="24">
        <v>15</v>
      </c>
      <c r="G869" s="20">
        <f t="shared" si="180"/>
        <v>1209838499.9999998</v>
      </c>
      <c r="J869" t="s">
        <v>368</v>
      </c>
      <c r="K869" s="22" t="str">
        <f t="shared" ref="K869:K870" si="199">IF(H869="",IF(I869="","point","middle"),"span")</f>
        <v>point</v>
      </c>
      <c r="O869" t="s">
        <v>462</v>
      </c>
      <c r="P869">
        <v>6</v>
      </c>
      <c r="Q869" t="s">
        <v>1251</v>
      </c>
      <c r="S869" t="s">
        <v>1250</v>
      </c>
    </row>
    <row r="870" spans="1:19" x14ac:dyDescent="0.4">
      <c r="A870" t="s">
        <v>1478</v>
      </c>
      <c r="B870" s="24">
        <v>2008</v>
      </c>
      <c r="C870" s="24">
        <v>5</v>
      </c>
      <c r="D870" s="24">
        <v>6</v>
      </c>
      <c r="E870" s="24">
        <v>12</v>
      </c>
      <c r="F870" s="24">
        <v>0</v>
      </c>
      <c r="G870" s="20">
        <f t="shared" si="180"/>
        <v>1210075200</v>
      </c>
      <c r="J870" t="s">
        <v>368</v>
      </c>
      <c r="K870" s="22" t="str">
        <f t="shared" si="199"/>
        <v>point</v>
      </c>
      <c r="O870" t="s">
        <v>462</v>
      </c>
      <c r="P870">
        <v>6</v>
      </c>
      <c r="Q870" t="s">
        <v>1252</v>
      </c>
      <c r="S870" t="s">
        <v>1250</v>
      </c>
    </row>
    <row r="871" spans="1:19" x14ac:dyDescent="0.4">
      <c r="A871" t="s">
        <v>1478</v>
      </c>
      <c r="B871" s="24">
        <v>2008</v>
      </c>
      <c r="C871" s="24">
        <v>5</v>
      </c>
      <c r="D871" s="24">
        <v>6</v>
      </c>
      <c r="E871" s="24">
        <v>13</v>
      </c>
      <c r="F871" s="24">
        <v>30</v>
      </c>
      <c r="G871" s="20">
        <f t="shared" si="180"/>
        <v>1210080600</v>
      </c>
      <c r="J871" t="s">
        <v>368</v>
      </c>
      <c r="K871" s="22" t="str">
        <f t="shared" ref="K871" si="200">IF(H871="",IF(I871="","point","middle"),"span")</f>
        <v>point</v>
      </c>
      <c r="O871" t="s">
        <v>462</v>
      </c>
      <c r="P871">
        <v>6</v>
      </c>
      <c r="Q871" t="s">
        <v>1253</v>
      </c>
      <c r="S871" t="s">
        <v>1250</v>
      </c>
    </row>
    <row r="872" spans="1:19" x14ac:dyDescent="0.4">
      <c r="A872" t="s">
        <v>1478</v>
      </c>
      <c r="B872" s="24">
        <v>2008</v>
      </c>
      <c r="C872" s="24">
        <v>5</v>
      </c>
      <c r="D872" s="24">
        <v>7</v>
      </c>
      <c r="G872" s="20">
        <f t="shared" si="180"/>
        <v>1210161600</v>
      </c>
      <c r="J872" t="s">
        <v>368</v>
      </c>
      <c r="K872" s="22" t="str">
        <f t="shared" ref="K872" si="201">IF(H872="",IF(I872="","point","middle"),"span")</f>
        <v>point</v>
      </c>
      <c r="O872" t="s">
        <v>462</v>
      </c>
      <c r="P872">
        <v>4</v>
      </c>
      <c r="Q872" t="s">
        <v>1260</v>
      </c>
      <c r="S872" t="s">
        <v>1250</v>
      </c>
    </row>
    <row r="873" spans="1:19" x14ac:dyDescent="0.4">
      <c r="A873" t="s">
        <v>1478</v>
      </c>
      <c r="B873" s="24">
        <v>2008</v>
      </c>
      <c r="C873" s="24">
        <v>5</v>
      </c>
      <c r="D873" s="24">
        <v>7</v>
      </c>
      <c r="E873" s="24">
        <v>20</v>
      </c>
      <c r="F873" s="24">
        <v>0</v>
      </c>
      <c r="G873" s="20">
        <f t="shared" si="180"/>
        <v>1210190400.0000002</v>
      </c>
      <c r="H873" s="20">
        <f>96/60</f>
        <v>1.6</v>
      </c>
      <c r="J873" t="s">
        <v>368</v>
      </c>
      <c r="K873" s="22" t="str">
        <f t="shared" ref="K873" si="202">IF(H873="",IF(I873="","point","middle"),"span")</f>
        <v>span</v>
      </c>
      <c r="O873" t="s">
        <v>462</v>
      </c>
      <c r="P873">
        <v>5</v>
      </c>
      <c r="Q873" t="s">
        <v>1256</v>
      </c>
      <c r="S873" t="s">
        <v>1250</v>
      </c>
    </row>
    <row r="874" spans="1:19" x14ac:dyDescent="0.4">
      <c r="A874" t="s">
        <v>1478</v>
      </c>
      <c r="B874" s="24">
        <v>2008</v>
      </c>
      <c r="C874" s="24">
        <v>5</v>
      </c>
      <c r="D874" s="24">
        <v>8</v>
      </c>
      <c r="E874" s="24">
        <v>3</v>
      </c>
      <c r="F874" s="24">
        <v>30</v>
      </c>
      <c r="G874" s="20">
        <f t="shared" si="180"/>
        <v>1210217400.0000002</v>
      </c>
      <c r="J874" t="s">
        <v>368</v>
      </c>
      <c r="K874" s="22" t="str">
        <f t="shared" ref="K874" si="203">IF(H874="",IF(I874="","point","middle"),"span")</f>
        <v>point</v>
      </c>
      <c r="O874" t="s">
        <v>462</v>
      </c>
      <c r="P874">
        <v>6</v>
      </c>
      <c r="Q874" t="s">
        <v>1258</v>
      </c>
      <c r="S874" t="s">
        <v>1250</v>
      </c>
    </row>
    <row r="875" spans="1:19" x14ac:dyDescent="0.4">
      <c r="A875" t="s">
        <v>1478</v>
      </c>
      <c r="B875" s="24">
        <v>2008</v>
      </c>
      <c r="C875" s="24">
        <v>5</v>
      </c>
      <c r="D875" s="24">
        <v>8</v>
      </c>
      <c r="E875" s="24">
        <v>11</v>
      </c>
      <c r="F875" s="24">
        <v>15</v>
      </c>
      <c r="G875" s="20">
        <f t="shared" si="180"/>
        <v>1210245300</v>
      </c>
      <c r="H875" s="24">
        <v>8</v>
      </c>
      <c r="J875" t="s">
        <v>368</v>
      </c>
      <c r="K875" s="22" t="str">
        <f t="shared" ref="K875" si="204">IF(H875="",IF(I875="","point","middle"),"span")</f>
        <v>span</v>
      </c>
      <c r="O875" t="s">
        <v>462</v>
      </c>
      <c r="P875">
        <v>4</v>
      </c>
      <c r="Q875" t="s">
        <v>1261</v>
      </c>
      <c r="S875" t="s">
        <v>1250</v>
      </c>
    </row>
    <row r="876" spans="1:19" x14ac:dyDescent="0.4">
      <c r="A876" t="s">
        <v>1478</v>
      </c>
      <c r="B876" s="24">
        <v>2008</v>
      </c>
      <c r="C876" s="24">
        <v>5</v>
      </c>
      <c r="D876" s="24">
        <v>8</v>
      </c>
      <c r="G876" s="20">
        <f t="shared" si="180"/>
        <v>1210248000</v>
      </c>
      <c r="J876" t="s">
        <v>368</v>
      </c>
      <c r="K876" s="22" t="str">
        <f t="shared" ref="K876" si="205">IF(H876="",IF(I876="","point","middle"),"span")</f>
        <v>point</v>
      </c>
      <c r="O876" t="s">
        <v>462</v>
      </c>
      <c r="P876">
        <v>5</v>
      </c>
      <c r="Q876" t="s">
        <v>1262</v>
      </c>
      <c r="S876" t="s">
        <v>1250</v>
      </c>
    </row>
    <row r="877" spans="1:19" x14ac:dyDescent="0.4">
      <c r="A877" t="s">
        <v>1478</v>
      </c>
      <c r="B877" s="24">
        <v>2008</v>
      </c>
      <c r="C877" s="24">
        <v>5</v>
      </c>
      <c r="D877" s="24">
        <v>8</v>
      </c>
      <c r="G877" s="20">
        <f t="shared" si="180"/>
        <v>1210248000</v>
      </c>
      <c r="H877" s="20">
        <v>96</v>
      </c>
      <c r="J877" t="s">
        <v>368</v>
      </c>
      <c r="K877" s="22" t="str">
        <f t="shared" ref="K877" si="206">IF(H877="",IF(I877="","point","middle"),"span")</f>
        <v>span</v>
      </c>
      <c r="O877" t="s">
        <v>462</v>
      </c>
      <c r="P877">
        <v>3</v>
      </c>
      <c r="Q877" t="s">
        <v>1263</v>
      </c>
      <c r="S877" t="s">
        <v>1250</v>
      </c>
    </row>
    <row r="878" spans="1:19" x14ac:dyDescent="0.4">
      <c r="A878" t="s">
        <v>1478</v>
      </c>
      <c r="B878" s="24">
        <v>2008</v>
      </c>
      <c r="C878" s="24">
        <v>5</v>
      </c>
      <c r="D878" s="24">
        <v>9</v>
      </c>
      <c r="E878" s="24">
        <v>16</v>
      </c>
      <c r="F878" s="24">
        <v>0</v>
      </c>
      <c r="G878" s="20">
        <f t="shared" si="180"/>
        <v>1210348799.9999998</v>
      </c>
      <c r="H878" s="24">
        <v>4</v>
      </c>
      <c r="J878" t="s">
        <v>368</v>
      </c>
      <c r="K878" s="22" t="str">
        <f t="shared" ref="K878" si="207">IF(H878="",IF(I878="","point","middle"),"span")</f>
        <v>span</v>
      </c>
      <c r="O878" t="s">
        <v>462</v>
      </c>
      <c r="P878">
        <v>4</v>
      </c>
      <c r="Q878" t="s">
        <v>1264</v>
      </c>
      <c r="S878" t="s">
        <v>1250</v>
      </c>
    </row>
    <row r="879" spans="1:19" x14ac:dyDescent="0.4">
      <c r="A879" t="s">
        <v>1478</v>
      </c>
      <c r="B879" s="24">
        <v>2008</v>
      </c>
      <c r="C879" s="24">
        <v>5</v>
      </c>
      <c r="D879" s="24">
        <v>12</v>
      </c>
      <c r="G879" s="20">
        <f t="shared" ref="G879:G883" si="208">(IF(C879="",DATE(B879,7,1),IF(D879="",DATE(B879,C879,16), IF(E879="",DATE(B879,C879,D879)+TIME(12,0,0), IF(F879="", DATE(B879,C879,D879)+TIME(E879,0,0),DATE(B879,C879,D879)+TIME(E879,F879,0))))) - 25569)*86400</f>
        <v>1210593600</v>
      </c>
      <c r="J879" t="s">
        <v>368</v>
      </c>
      <c r="K879" s="22" t="str">
        <f t="shared" ref="K879" si="209">IF(H879="",IF(I879="","point","middle"),"span")</f>
        <v>point</v>
      </c>
      <c r="O879" t="s">
        <v>462</v>
      </c>
      <c r="P879">
        <v>3</v>
      </c>
      <c r="Q879" t="s">
        <v>1265</v>
      </c>
      <c r="S879" t="s">
        <v>1250</v>
      </c>
    </row>
    <row r="880" spans="1:19" x14ac:dyDescent="0.4">
      <c r="A880" t="s">
        <v>1478</v>
      </c>
      <c r="B880" s="24">
        <v>2008</v>
      </c>
      <c r="C880" s="24">
        <v>5</v>
      </c>
      <c r="D880" s="24">
        <v>21</v>
      </c>
      <c r="G880" s="20">
        <f t="shared" si="208"/>
        <v>1211371200</v>
      </c>
      <c r="J880" t="s">
        <v>368</v>
      </c>
      <c r="K880" s="22" t="str">
        <f t="shared" ref="K880" si="210">IF(H880="",IF(I880="","point","middle"),"span")</f>
        <v>point</v>
      </c>
      <c r="O880" t="s">
        <v>462</v>
      </c>
      <c r="P880">
        <v>3</v>
      </c>
      <c r="Q880" t="s">
        <v>1266</v>
      </c>
      <c r="S880" t="s">
        <v>1250</v>
      </c>
    </row>
    <row r="881" spans="1:19" x14ac:dyDescent="0.4">
      <c r="A881" t="s">
        <v>1478</v>
      </c>
      <c r="B881" s="24">
        <v>2008</v>
      </c>
      <c r="C881" s="24">
        <v>5</v>
      </c>
      <c r="D881" s="24">
        <v>21</v>
      </c>
      <c r="G881" s="20">
        <f t="shared" si="208"/>
        <v>1211371200</v>
      </c>
      <c r="H881" s="20">
        <f>4*30*24</f>
        <v>2880</v>
      </c>
      <c r="J881" t="s">
        <v>368</v>
      </c>
      <c r="K881" s="22" t="str">
        <f t="shared" ref="K881" si="211">IF(H881="",IF(I881="","point","middle"),"span")</f>
        <v>span</v>
      </c>
      <c r="O881" t="s">
        <v>462</v>
      </c>
      <c r="P881">
        <v>3</v>
      </c>
      <c r="Q881" t="s">
        <v>1267</v>
      </c>
      <c r="S881" t="s">
        <v>1250</v>
      </c>
    </row>
    <row r="882" spans="1:19" x14ac:dyDescent="0.4">
      <c r="A882" t="s">
        <v>1478</v>
      </c>
      <c r="B882" s="24">
        <v>2008</v>
      </c>
      <c r="C882" s="24">
        <v>10</v>
      </c>
      <c r="G882" s="20">
        <f t="shared" si="208"/>
        <v>1224115200</v>
      </c>
      <c r="H882" s="20">
        <f>4*30*24</f>
        <v>2880</v>
      </c>
      <c r="J882" t="s">
        <v>368</v>
      </c>
      <c r="K882" s="22" t="str">
        <f t="shared" ref="K882" si="212">IF(H882="",IF(I882="","point","middle"),"span")</f>
        <v>span</v>
      </c>
      <c r="O882" t="s">
        <v>462</v>
      </c>
      <c r="P882">
        <v>3</v>
      </c>
      <c r="Q882" t="s">
        <v>1268</v>
      </c>
      <c r="S882" t="s">
        <v>1250</v>
      </c>
    </row>
    <row r="883" spans="1:19" x14ac:dyDescent="0.4">
      <c r="A883" t="s">
        <v>1478</v>
      </c>
      <c r="B883" s="24">
        <v>2009</v>
      </c>
      <c r="C883" s="24">
        <v>3</v>
      </c>
      <c r="G883" s="20">
        <f t="shared" si="208"/>
        <v>1237161600</v>
      </c>
      <c r="H883" s="20">
        <f>10*30*24</f>
        <v>7200</v>
      </c>
      <c r="J883" t="s">
        <v>368</v>
      </c>
      <c r="K883" s="22" t="str">
        <f t="shared" ref="K883" si="213">IF(H883="",IF(I883="","point","middle"),"span")</f>
        <v>span</v>
      </c>
      <c r="O883" t="s">
        <v>462</v>
      </c>
      <c r="P883">
        <v>3</v>
      </c>
      <c r="Q883" t="s">
        <v>1269</v>
      </c>
      <c r="S883" t="s">
        <v>1250</v>
      </c>
    </row>
  </sheetData>
  <phoneticPr fontId="2"/>
  <conditionalFormatting sqref="P207">
    <cfRule type="colorScale" priority="16">
      <colorScale>
        <cfvo type="min"/>
        <cfvo type="percentile" val="50"/>
        <cfvo type="max"/>
        <color rgb="FF63BE7B"/>
        <color rgb="FFFFEB84"/>
        <color rgb="FFF8696B"/>
      </colorScale>
    </cfRule>
  </conditionalFormatting>
  <conditionalFormatting sqref="P410:P411">
    <cfRule type="colorScale" priority="14">
      <colorScale>
        <cfvo type="min"/>
        <cfvo type="percentile" val="50"/>
        <cfvo type="max"/>
        <color rgb="FF63BE7B"/>
        <color rgb="FFFFEB84"/>
        <color rgb="FFF8696B"/>
      </colorScale>
    </cfRule>
  </conditionalFormatting>
  <conditionalFormatting sqref="P482">
    <cfRule type="colorScale" priority="9">
      <colorScale>
        <cfvo type="min"/>
        <cfvo type="percentile" val="50"/>
        <cfvo type="max"/>
        <color rgb="FF63BE7B"/>
        <color rgb="FFFFEB84"/>
        <color rgb="FFF8696B"/>
      </colorScale>
    </cfRule>
  </conditionalFormatting>
  <conditionalFormatting sqref="P482">
    <cfRule type="colorScale" priority="8">
      <colorScale>
        <cfvo type="min"/>
        <cfvo type="percentile" val="50"/>
        <cfvo type="max"/>
        <color rgb="FF63BE7B"/>
        <color rgb="FFFFEB84"/>
        <color rgb="FFF8696B"/>
      </colorScale>
    </cfRule>
  </conditionalFormatting>
  <conditionalFormatting sqref="P870">
    <cfRule type="colorScale" priority="1">
      <colorScale>
        <cfvo type="min"/>
        <cfvo type="percentile" val="50"/>
        <cfvo type="max"/>
        <color rgb="FF63BE7B"/>
        <color rgb="FFFFEB84"/>
        <color rgb="FFF8696B"/>
      </colorScale>
    </cfRule>
  </conditionalFormatting>
  <conditionalFormatting sqref="P870">
    <cfRule type="colorScale" priority="2">
      <colorScale>
        <cfvo type="min"/>
        <cfvo type="percentile" val="50"/>
        <cfvo type="max"/>
        <color rgb="FF63BE7B"/>
        <color rgb="FFFFEB84"/>
        <color rgb="FFF8696B"/>
      </colorScale>
    </cfRule>
  </conditionalFormatting>
  <conditionalFormatting sqref="P870">
    <cfRule type="colorScale" priority="3">
      <colorScale>
        <cfvo type="min"/>
        <cfvo type="percentile" val="50"/>
        <cfvo type="max"/>
        <color rgb="FF63BE7B"/>
        <color rgb="FFFFEB84"/>
        <color rgb="FFF8696B"/>
      </colorScale>
    </cfRule>
  </conditionalFormatting>
  <conditionalFormatting sqref="P871:P1048576 P412:P481 P208:P409 P483:P869 P1:P206">
    <cfRule type="colorScale" priority="476">
      <colorScale>
        <cfvo type="min"/>
        <cfvo type="percentile" val="50"/>
        <cfvo type="max"/>
        <color rgb="FF63BE7B"/>
        <color rgb="FFFFEB84"/>
        <color rgb="FFF8696B"/>
      </colorScale>
    </cfRule>
  </conditionalFormatting>
  <conditionalFormatting sqref="P871:P1048576 P1:P869">
    <cfRule type="colorScale" priority="484">
      <colorScale>
        <cfvo type="min"/>
        <cfvo type="percentile" val="50"/>
        <cfvo type="max"/>
        <color rgb="FF63BE7B"/>
        <color rgb="FFFFEB84"/>
        <color rgb="FFF8696B"/>
      </colorScale>
    </cfRule>
  </conditionalFormatting>
  <conditionalFormatting sqref="P871:P963 P483:P869 P2:P481">
    <cfRule type="colorScale" priority="489">
      <colorScale>
        <cfvo type="min"/>
        <cfvo type="percentile" val="50"/>
        <cfvo type="max"/>
        <color rgb="FF63BE7B"/>
        <color rgb="FFFFEB84"/>
        <color rgb="FFF8696B"/>
      </colorScale>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A14B0-9737-4665-AB9E-BE9B85DA9523}">
  <dimension ref="A1:I172"/>
  <sheetViews>
    <sheetView topLeftCell="A28" workbookViewId="0">
      <selection activeCell="C172" sqref="C172"/>
    </sheetView>
  </sheetViews>
  <sheetFormatPr defaultRowHeight="18.75" x14ac:dyDescent="0.4"/>
  <cols>
    <col min="1" max="1" width="13.5" customWidth="1"/>
    <col min="2" max="2" width="12.25" customWidth="1"/>
    <col min="3" max="3" width="13.75" customWidth="1"/>
    <col min="4" max="4" width="15.625" customWidth="1"/>
    <col min="5" max="5" width="13.5" customWidth="1"/>
    <col min="6" max="6" width="10" customWidth="1"/>
    <col min="8" max="8" width="23.875" style="3" customWidth="1"/>
  </cols>
  <sheetData>
    <row r="1" spans="1:9" ht="20.25" thickTop="1" thickBot="1" x14ac:dyDescent="0.45">
      <c r="A1" s="1" t="s">
        <v>2</v>
      </c>
      <c r="B1" s="1" t="s">
        <v>3</v>
      </c>
      <c r="C1" s="1" t="s">
        <v>4</v>
      </c>
      <c r="D1" s="1" t="s">
        <v>5</v>
      </c>
      <c r="E1" s="1" t="s">
        <v>6</v>
      </c>
      <c r="F1" s="1" t="s">
        <v>350</v>
      </c>
      <c r="G1" s="1" t="s">
        <v>7</v>
      </c>
      <c r="H1" s="4" t="s">
        <v>363</v>
      </c>
      <c r="I1" s="4" t="s">
        <v>315</v>
      </c>
    </row>
    <row r="2" spans="1:9" ht="19.5" thickTop="1" x14ac:dyDescent="0.4">
      <c r="A2" s="2"/>
      <c r="B2" s="2" t="s">
        <v>1</v>
      </c>
      <c r="C2" s="2"/>
      <c r="D2" s="2"/>
      <c r="E2" s="2" t="s">
        <v>10</v>
      </c>
      <c r="F2" s="2" t="s">
        <v>324</v>
      </c>
      <c r="G2" s="2">
        <v>2019</v>
      </c>
      <c r="H2" s="2" t="s">
        <v>342</v>
      </c>
      <c r="I2" s="2"/>
    </row>
    <row r="3" spans="1:9" s="15" customFormat="1" x14ac:dyDescent="0.4">
      <c r="A3" s="14"/>
      <c r="B3" s="14" t="s">
        <v>325</v>
      </c>
      <c r="C3" s="14"/>
      <c r="D3" s="14"/>
      <c r="E3" s="14"/>
      <c r="F3" s="14" t="s">
        <v>324</v>
      </c>
      <c r="G3" s="14">
        <v>2019</v>
      </c>
      <c r="H3" s="14" t="s">
        <v>342</v>
      </c>
      <c r="I3" s="14"/>
    </row>
    <row r="4" spans="1:9" s="7" customFormat="1" x14ac:dyDescent="0.4">
      <c r="A4" s="5"/>
      <c r="B4" s="5" t="s">
        <v>326</v>
      </c>
      <c r="C4" s="5"/>
      <c r="D4" s="5"/>
      <c r="E4" s="5"/>
      <c r="F4" s="5" t="s">
        <v>324</v>
      </c>
      <c r="G4" s="5">
        <v>2018</v>
      </c>
      <c r="H4" s="6" t="s">
        <v>335</v>
      </c>
      <c r="I4" s="8" t="s">
        <v>327</v>
      </c>
    </row>
    <row r="5" spans="1:9" s="15" customFormat="1" x14ac:dyDescent="0.4">
      <c r="A5" s="14"/>
      <c r="B5" s="14" t="s">
        <v>328</v>
      </c>
      <c r="C5" s="14"/>
      <c r="D5" s="14"/>
      <c r="E5" s="14"/>
      <c r="F5" s="14" t="s">
        <v>324</v>
      </c>
      <c r="G5" s="14">
        <v>2018</v>
      </c>
      <c r="H5" s="14" t="s">
        <v>342</v>
      </c>
      <c r="I5" s="14" t="s">
        <v>332</v>
      </c>
    </row>
    <row r="6" spans="1:9" x14ac:dyDescent="0.4">
      <c r="A6" s="2"/>
      <c r="B6" s="2" t="s">
        <v>331</v>
      </c>
      <c r="C6" s="2"/>
      <c r="D6" s="2"/>
      <c r="E6" s="2"/>
      <c r="F6" s="2" t="s">
        <v>324</v>
      </c>
      <c r="G6" s="2">
        <v>2018</v>
      </c>
      <c r="H6" s="3" t="s">
        <v>335</v>
      </c>
      <c r="I6" s="2"/>
    </row>
    <row r="7" spans="1:9" s="15" customFormat="1" x14ac:dyDescent="0.4">
      <c r="A7" s="14"/>
      <c r="B7" s="14" t="s">
        <v>330</v>
      </c>
      <c r="C7" s="14"/>
      <c r="D7" s="14"/>
      <c r="E7" s="14"/>
      <c r="F7" s="14" t="s">
        <v>324</v>
      </c>
      <c r="G7" s="14">
        <v>2017</v>
      </c>
      <c r="H7" s="16" t="s">
        <v>354</v>
      </c>
      <c r="I7" s="14" t="s">
        <v>329</v>
      </c>
    </row>
    <row r="8" spans="1:9" x14ac:dyDescent="0.4">
      <c r="A8" s="2"/>
      <c r="B8" s="2" t="s">
        <v>333</v>
      </c>
      <c r="C8" s="2"/>
      <c r="D8" s="2"/>
      <c r="E8" s="2"/>
      <c r="F8" s="2">
        <v>5</v>
      </c>
      <c r="G8" s="2">
        <v>2015</v>
      </c>
      <c r="H8" s="2" t="s">
        <v>334</v>
      </c>
      <c r="I8" s="2" t="s">
        <v>349</v>
      </c>
    </row>
    <row r="9" spans="1:9" s="7" customFormat="1" x14ac:dyDescent="0.4">
      <c r="A9" s="5">
        <v>353020</v>
      </c>
      <c r="B9" s="5" t="s">
        <v>8</v>
      </c>
      <c r="C9" s="5">
        <v>21075</v>
      </c>
      <c r="D9" s="5" t="s">
        <v>9</v>
      </c>
      <c r="E9" s="5" t="s">
        <v>10</v>
      </c>
      <c r="F9" s="5">
        <v>4</v>
      </c>
      <c r="G9" s="5" t="s">
        <v>11</v>
      </c>
      <c r="H9" s="6" t="s">
        <v>355</v>
      </c>
      <c r="I9" s="5" t="s">
        <v>317</v>
      </c>
    </row>
    <row r="10" spans="1:9" s="18" customFormat="1" x14ac:dyDescent="0.4">
      <c r="A10" s="17">
        <v>358020</v>
      </c>
      <c r="B10" s="17" t="s">
        <v>12</v>
      </c>
      <c r="C10" s="17">
        <v>21076</v>
      </c>
      <c r="D10" s="17" t="s">
        <v>9</v>
      </c>
      <c r="E10" s="17" t="s">
        <v>10</v>
      </c>
      <c r="F10" s="17">
        <v>4</v>
      </c>
      <c r="G10" s="17" t="s">
        <v>11</v>
      </c>
      <c r="H10" s="17" t="s">
        <v>321</v>
      </c>
      <c r="I10" s="17" t="s">
        <v>352</v>
      </c>
    </row>
    <row r="11" spans="1:9" s="18" customFormat="1" x14ac:dyDescent="0.4">
      <c r="A11" s="17">
        <v>263280</v>
      </c>
      <c r="B11" s="17" t="s">
        <v>13</v>
      </c>
      <c r="C11" s="17">
        <v>20934</v>
      </c>
      <c r="D11" s="17" t="s">
        <v>9</v>
      </c>
      <c r="E11" s="17" t="s">
        <v>10</v>
      </c>
      <c r="F11" s="17">
        <v>4</v>
      </c>
      <c r="G11" s="17" t="s">
        <v>14</v>
      </c>
      <c r="H11" s="19" t="s">
        <v>354</v>
      </c>
      <c r="I11" s="17" t="s">
        <v>344</v>
      </c>
    </row>
    <row r="12" spans="1:9" s="7" customFormat="1" x14ac:dyDescent="0.4">
      <c r="A12" s="5">
        <v>261080</v>
      </c>
      <c r="B12" s="5" t="s">
        <v>15</v>
      </c>
      <c r="C12" s="5">
        <v>20818</v>
      </c>
      <c r="D12" s="5" t="s">
        <v>9</v>
      </c>
      <c r="E12" s="5" t="s">
        <v>10</v>
      </c>
      <c r="F12" s="5">
        <v>4</v>
      </c>
      <c r="G12" s="5" t="s">
        <v>16</v>
      </c>
      <c r="H12" s="6" t="s">
        <v>316</v>
      </c>
      <c r="I12" s="5" t="s">
        <v>319</v>
      </c>
    </row>
    <row r="13" spans="1:9" s="7" customFormat="1" x14ac:dyDescent="0.4">
      <c r="A13" s="5">
        <v>300240</v>
      </c>
      <c r="B13" s="5" t="s">
        <v>17</v>
      </c>
      <c r="C13" s="5">
        <v>20825</v>
      </c>
      <c r="D13" s="5" t="s">
        <v>9</v>
      </c>
      <c r="E13" s="5" t="s">
        <v>18</v>
      </c>
      <c r="F13" s="5">
        <v>4</v>
      </c>
      <c r="G13" s="5" t="s">
        <v>19</v>
      </c>
      <c r="H13" s="6" t="s">
        <v>316</v>
      </c>
      <c r="I13" s="5" t="s">
        <v>348</v>
      </c>
    </row>
    <row r="14" spans="1:9" s="7" customFormat="1" x14ac:dyDescent="0.4">
      <c r="A14" s="5">
        <v>221101</v>
      </c>
      <c r="B14" s="5" t="s">
        <v>20</v>
      </c>
      <c r="C14" s="5">
        <v>20800</v>
      </c>
      <c r="D14" s="5" t="s">
        <v>9</v>
      </c>
      <c r="E14" s="5" t="s">
        <v>10</v>
      </c>
      <c r="F14" s="5">
        <v>4</v>
      </c>
      <c r="G14" s="5" t="s">
        <v>21</v>
      </c>
      <c r="H14" s="6" t="s">
        <v>316</v>
      </c>
      <c r="I14" s="5" t="s">
        <v>353</v>
      </c>
    </row>
    <row r="15" spans="1:9" s="18" customFormat="1" x14ac:dyDescent="0.4">
      <c r="A15" s="17">
        <v>357150</v>
      </c>
      <c r="B15" s="17" t="s">
        <v>22</v>
      </c>
      <c r="C15" s="17">
        <v>20809</v>
      </c>
      <c r="D15" s="17" t="s">
        <v>9</v>
      </c>
      <c r="E15" s="17" t="s">
        <v>23</v>
      </c>
      <c r="F15" s="17">
        <v>5</v>
      </c>
      <c r="G15" s="17" t="s">
        <v>21</v>
      </c>
      <c r="H15" s="17" t="s">
        <v>342</v>
      </c>
      <c r="I15" s="17" t="s">
        <v>320</v>
      </c>
    </row>
    <row r="16" spans="1:9" s="18" customFormat="1" x14ac:dyDescent="0.4">
      <c r="A16" s="17">
        <v>373010</v>
      </c>
      <c r="B16" s="17" t="s">
        <v>24</v>
      </c>
      <c r="C16" s="17">
        <v>20767</v>
      </c>
      <c r="D16" s="17" t="s">
        <v>9</v>
      </c>
      <c r="E16" s="17" t="s">
        <v>25</v>
      </c>
      <c r="F16" s="17">
        <v>4</v>
      </c>
      <c r="G16" s="17" t="s">
        <v>21</v>
      </c>
      <c r="H16" s="17" t="s">
        <v>354</v>
      </c>
      <c r="I16" s="17" t="s">
        <v>336</v>
      </c>
    </row>
    <row r="17" spans="1:9" x14ac:dyDescent="0.4">
      <c r="A17" s="2">
        <v>263250</v>
      </c>
      <c r="B17" s="2" t="s">
        <v>26</v>
      </c>
      <c r="C17" s="2">
        <v>15925</v>
      </c>
      <c r="D17" s="2" t="s">
        <v>9</v>
      </c>
      <c r="E17" s="2" t="s">
        <v>10</v>
      </c>
      <c r="F17" s="2">
        <v>4</v>
      </c>
      <c r="G17" s="2" t="s">
        <v>27</v>
      </c>
      <c r="H17" s="2" t="s">
        <v>334</v>
      </c>
      <c r="I17" s="2" t="s">
        <v>322</v>
      </c>
    </row>
    <row r="18" spans="1:9" s="7" customFormat="1" x14ac:dyDescent="0.4">
      <c r="A18" s="5">
        <v>372020</v>
      </c>
      <c r="B18" s="5" t="s">
        <v>28</v>
      </c>
      <c r="C18" s="5">
        <v>12563</v>
      </c>
      <c r="D18" s="5" t="s">
        <v>9</v>
      </c>
      <c r="E18" s="5" t="s">
        <v>29</v>
      </c>
      <c r="F18" s="5">
        <v>4</v>
      </c>
      <c r="G18" s="5" t="s">
        <v>27</v>
      </c>
      <c r="H18" s="5" t="s">
        <v>334</v>
      </c>
      <c r="I18" s="5" t="s">
        <v>323</v>
      </c>
    </row>
    <row r="19" spans="1:9" x14ac:dyDescent="0.4">
      <c r="A19" s="2">
        <v>290240</v>
      </c>
      <c r="B19" s="2" t="s">
        <v>30</v>
      </c>
      <c r="C19" s="2">
        <v>18819</v>
      </c>
      <c r="D19" s="2" t="s">
        <v>9</v>
      </c>
      <c r="E19" s="2" t="s">
        <v>10</v>
      </c>
      <c r="F19" s="2">
        <v>4</v>
      </c>
      <c r="G19" s="2" t="s">
        <v>31</v>
      </c>
      <c r="H19" s="3" t="s">
        <v>321</v>
      </c>
      <c r="I19" s="2" t="s">
        <v>346</v>
      </c>
    </row>
    <row r="20" spans="1:9" x14ac:dyDescent="0.4">
      <c r="A20" s="2">
        <v>311130</v>
      </c>
      <c r="B20" s="2" t="s">
        <v>32</v>
      </c>
      <c r="C20" s="2">
        <v>19745</v>
      </c>
      <c r="D20" s="2" t="s">
        <v>9</v>
      </c>
      <c r="E20" s="2" t="s">
        <v>10</v>
      </c>
      <c r="F20" s="2">
        <v>4</v>
      </c>
      <c r="G20" s="2" t="s">
        <v>33</v>
      </c>
      <c r="H20" s="3" t="s">
        <v>354</v>
      </c>
      <c r="I20" s="2" t="s">
        <v>345</v>
      </c>
    </row>
    <row r="21" spans="1:9" x14ac:dyDescent="0.4">
      <c r="A21" s="2">
        <v>311290</v>
      </c>
      <c r="B21" s="2" t="s">
        <v>34</v>
      </c>
      <c r="C21" s="2">
        <v>19852</v>
      </c>
      <c r="D21" s="2" t="s">
        <v>9</v>
      </c>
      <c r="E21" s="2" t="s">
        <v>35</v>
      </c>
      <c r="F21" s="2">
        <v>4</v>
      </c>
      <c r="G21" s="2" t="s">
        <v>33</v>
      </c>
      <c r="H21" s="3" t="s">
        <v>335</v>
      </c>
      <c r="I21" s="2" t="s">
        <v>347</v>
      </c>
    </row>
    <row r="22" spans="1:9" s="18" customFormat="1" x14ac:dyDescent="0.4">
      <c r="A22" s="17">
        <v>358041</v>
      </c>
      <c r="B22" s="17" t="s">
        <v>36</v>
      </c>
      <c r="C22" s="17">
        <v>12271</v>
      </c>
      <c r="D22" s="17" t="s">
        <v>9</v>
      </c>
      <c r="E22" s="17" t="s">
        <v>10</v>
      </c>
      <c r="F22" s="17">
        <v>4</v>
      </c>
      <c r="G22" s="17" t="s">
        <v>33</v>
      </c>
      <c r="H22" s="19" t="s">
        <v>354</v>
      </c>
      <c r="I22" s="17" t="s">
        <v>358</v>
      </c>
    </row>
    <row r="23" spans="1:9" x14ac:dyDescent="0.4">
      <c r="A23" s="2">
        <v>252140</v>
      </c>
      <c r="B23" s="2" t="s">
        <v>37</v>
      </c>
      <c r="C23" s="2">
        <v>15100</v>
      </c>
      <c r="D23" s="2" t="s">
        <v>9</v>
      </c>
      <c r="E23" s="2" t="s">
        <v>38</v>
      </c>
      <c r="F23" s="2">
        <v>4</v>
      </c>
      <c r="G23" s="2" t="s">
        <v>39</v>
      </c>
      <c r="H23" s="3" t="s">
        <v>321</v>
      </c>
      <c r="I23" s="2" t="s">
        <v>356</v>
      </c>
    </row>
    <row r="24" spans="1:9" x14ac:dyDescent="0.4">
      <c r="A24" s="2">
        <v>251020</v>
      </c>
      <c r="B24" s="2" t="s">
        <v>40</v>
      </c>
      <c r="C24" s="2">
        <v>14934</v>
      </c>
      <c r="D24" s="2" t="s">
        <v>9</v>
      </c>
      <c r="E24" s="2" t="s">
        <v>41</v>
      </c>
      <c r="F24" s="2">
        <v>4</v>
      </c>
      <c r="G24" s="2" t="s">
        <v>42</v>
      </c>
      <c r="H24" s="3" t="s">
        <v>360</v>
      </c>
      <c r="I24" s="2" t="s">
        <v>361</v>
      </c>
    </row>
    <row r="25" spans="1:9" x14ac:dyDescent="0.4">
      <c r="A25" s="2">
        <v>352010</v>
      </c>
      <c r="B25" s="2" t="s">
        <v>43</v>
      </c>
      <c r="C25" s="2">
        <v>11446</v>
      </c>
      <c r="D25" s="2" t="s">
        <v>9</v>
      </c>
      <c r="E25" s="2" t="s">
        <v>44</v>
      </c>
      <c r="F25" s="2">
        <v>4</v>
      </c>
      <c r="G25" s="2" t="s">
        <v>45</v>
      </c>
      <c r="H25" s="3" t="s">
        <v>321</v>
      </c>
      <c r="I25" s="2" t="s">
        <v>351</v>
      </c>
    </row>
    <row r="26" spans="1:9" x14ac:dyDescent="0.4">
      <c r="A26" s="2">
        <v>267010</v>
      </c>
      <c r="B26" s="2" t="s">
        <v>46</v>
      </c>
      <c r="C26" s="2">
        <v>16493</v>
      </c>
      <c r="D26" s="2" t="s">
        <v>9</v>
      </c>
      <c r="E26" s="2" t="s">
        <v>10</v>
      </c>
      <c r="F26" s="2">
        <v>4</v>
      </c>
      <c r="G26" s="2" t="s">
        <v>45</v>
      </c>
      <c r="H26" s="3" t="s">
        <v>360</v>
      </c>
      <c r="I26" s="2" t="s">
        <v>362</v>
      </c>
    </row>
    <row r="27" spans="1:9" x14ac:dyDescent="0.4">
      <c r="A27" s="2">
        <v>252120</v>
      </c>
      <c r="B27" s="2" t="s">
        <v>0</v>
      </c>
      <c r="C27" s="2">
        <v>15063</v>
      </c>
      <c r="D27" s="2" t="s">
        <v>9</v>
      </c>
      <c r="E27" s="2" t="s">
        <v>10</v>
      </c>
      <c r="F27" s="2">
        <v>4</v>
      </c>
      <c r="G27" s="2" t="s">
        <v>47</v>
      </c>
      <c r="H27" s="3" t="s">
        <v>360</v>
      </c>
      <c r="I27" s="2" t="s">
        <v>364</v>
      </c>
    </row>
    <row r="28" spans="1:9" x14ac:dyDescent="0.4">
      <c r="A28" s="2">
        <v>300270</v>
      </c>
      <c r="B28" s="2" t="s">
        <v>48</v>
      </c>
      <c r="C28" s="2">
        <v>19594</v>
      </c>
      <c r="D28" s="2" t="s">
        <v>9</v>
      </c>
      <c r="E28" s="2" t="s">
        <v>10</v>
      </c>
      <c r="F28" s="2">
        <v>4</v>
      </c>
      <c r="G28" s="2" t="s">
        <v>49</v>
      </c>
    </row>
    <row r="29" spans="1:9" x14ac:dyDescent="0.4">
      <c r="A29" s="2">
        <v>252140</v>
      </c>
      <c r="B29" s="2" t="s">
        <v>37</v>
      </c>
      <c r="C29" s="2">
        <v>15096</v>
      </c>
      <c r="D29" s="2" t="s">
        <v>9</v>
      </c>
      <c r="E29" s="2" t="s">
        <v>50</v>
      </c>
      <c r="F29" s="2">
        <v>4</v>
      </c>
      <c r="G29" s="2" t="s">
        <v>51</v>
      </c>
      <c r="H29" s="3" t="s">
        <v>354</v>
      </c>
      <c r="I29" s="2" t="s">
        <v>357</v>
      </c>
    </row>
    <row r="30" spans="1:9" x14ac:dyDescent="0.4">
      <c r="A30" s="2">
        <v>355100</v>
      </c>
      <c r="B30" s="2" t="s">
        <v>52</v>
      </c>
      <c r="C30" s="2">
        <v>11868</v>
      </c>
      <c r="D30" s="2" t="s">
        <v>9</v>
      </c>
      <c r="E30" s="2" t="s">
        <v>53</v>
      </c>
      <c r="F30" s="2">
        <v>4</v>
      </c>
      <c r="G30" s="2" t="s">
        <v>54</v>
      </c>
      <c r="H30" s="2" t="s">
        <v>321</v>
      </c>
      <c r="I30" s="2" t="s">
        <v>343</v>
      </c>
    </row>
    <row r="31" spans="1:9" x14ac:dyDescent="0.4">
      <c r="A31" s="2">
        <v>313040</v>
      </c>
      <c r="B31" s="2" t="s">
        <v>55</v>
      </c>
      <c r="C31" s="2">
        <v>20399</v>
      </c>
      <c r="D31" s="2" t="s">
        <v>9</v>
      </c>
      <c r="E31" s="2" t="s">
        <v>56</v>
      </c>
      <c r="F31" s="2">
        <v>4</v>
      </c>
      <c r="G31" s="2" t="s">
        <v>57</v>
      </c>
      <c r="H31" s="2" t="s">
        <v>318</v>
      </c>
      <c r="I31" s="2" t="s">
        <v>359</v>
      </c>
    </row>
    <row r="32" spans="1:9" x14ac:dyDescent="0.4">
      <c r="A32" s="2">
        <v>358057</v>
      </c>
      <c r="B32" s="2" t="s">
        <v>58</v>
      </c>
      <c r="C32" s="2">
        <v>12299</v>
      </c>
      <c r="D32" s="2" t="s">
        <v>9</v>
      </c>
      <c r="E32" s="2" t="s">
        <v>59</v>
      </c>
      <c r="F32" s="2">
        <v>5</v>
      </c>
      <c r="G32" s="2" t="s">
        <v>60</v>
      </c>
      <c r="H32" s="2" t="s">
        <v>318</v>
      </c>
    </row>
    <row r="33" spans="1:8" s="18" customFormat="1" x14ac:dyDescent="0.4">
      <c r="A33" s="17">
        <v>273083</v>
      </c>
      <c r="B33" s="17" t="s">
        <v>61</v>
      </c>
      <c r="C33" s="17">
        <v>16867</v>
      </c>
      <c r="D33" s="17" t="s">
        <v>9</v>
      </c>
      <c r="E33" s="17" t="s">
        <v>62</v>
      </c>
      <c r="F33" s="17">
        <v>6</v>
      </c>
      <c r="G33" s="17" t="s">
        <v>60</v>
      </c>
      <c r="H33" s="17" t="s">
        <v>318</v>
      </c>
    </row>
    <row r="34" spans="1:8" x14ac:dyDescent="0.4">
      <c r="A34" s="2">
        <v>263280</v>
      </c>
      <c r="B34" s="2" t="s">
        <v>13</v>
      </c>
      <c r="C34" s="2">
        <v>15957</v>
      </c>
      <c r="D34" s="2" t="s">
        <v>9</v>
      </c>
      <c r="E34" s="2" t="s">
        <v>10</v>
      </c>
      <c r="F34" s="2">
        <v>4</v>
      </c>
      <c r="G34" s="2" t="s">
        <v>63</v>
      </c>
    </row>
    <row r="35" spans="1:8" x14ac:dyDescent="0.4">
      <c r="A35" s="2">
        <v>300260</v>
      </c>
      <c r="B35" s="2" t="s">
        <v>64</v>
      </c>
      <c r="C35" s="2">
        <v>19468</v>
      </c>
      <c r="D35" s="2" t="s">
        <v>9</v>
      </c>
      <c r="E35" s="2" t="s">
        <v>65</v>
      </c>
      <c r="F35" s="2">
        <v>4</v>
      </c>
      <c r="G35" s="2" t="s">
        <v>66</v>
      </c>
    </row>
    <row r="36" spans="1:8" x14ac:dyDescent="0.4">
      <c r="A36" s="2">
        <v>290360</v>
      </c>
      <c r="B36" s="2" t="s">
        <v>67</v>
      </c>
      <c r="C36" s="2">
        <v>18854</v>
      </c>
      <c r="D36" s="2" t="s">
        <v>9</v>
      </c>
      <c r="E36" s="2" t="s">
        <v>10</v>
      </c>
      <c r="F36" s="2">
        <v>4</v>
      </c>
      <c r="G36" s="2" t="s">
        <v>66</v>
      </c>
    </row>
    <row r="37" spans="1:8" x14ac:dyDescent="0.4">
      <c r="A37" s="2">
        <v>313010</v>
      </c>
      <c r="B37" s="2" t="s">
        <v>68</v>
      </c>
      <c r="C37" s="2">
        <v>20262</v>
      </c>
      <c r="D37" s="2" t="s">
        <v>9</v>
      </c>
      <c r="E37" s="2" t="s">
        <v>10</v>
      </c>
      <c r="F37" s="2">
        <v>4</v>
      </c>
      <c r="G37" s="2" t="s">
        <v>66</v>
      </c>
    </row>
    <row r="38" spans="1:8" x14ac:dyDescent="0.4">
      <c r="A38" s="2">
        <v>266010</v>
      </c>
      <c r="B38" s="2" t="s">
        <v>69</v>
      </c>
      <c r="C38" s="2">
        <v>16423</v>
      </c>
      <c r="D38" s="2" t="s">
        <v>9</v>
      </c>
      <c r="E38" s="2" t="s">
        <v>70</v>
      </c>
      <c r="F38" s="2">
        <v>4</v>
      </c>
      <c r="G38" s="2" t="s">
        <v>71</v>
      </c>
    </row>
    <row r="39" spans="1:8" x14ac:dyDescent="0.4">
      <c r="A39" s="2">
        <v>263140</v>
      </c>
      <c r="B39" s="2" t="s">
        <v>72</v>
      </c>
      <c r="C39" s="2">
        <v>15721</v>
      </c>
      <c r="D39" s="2" t="s">
        <v>9</v>
      </c>
      <c r="E39" s="2" t="s">
        <v>73</v>
      </c>
      <c r="F39" s="2">
        <v>4</v>
      </c>
      <c r="G39" s="2" t="s">
        <v>74</v>
      </c>
    </row>
    <row r="40" spans="1:8" x14ac:dyDescent="0.4">
      <c r="A40" s="2">
        <v>341120</v>
      </c>
      <c r="B40" s="2" t="s">
        <v>75</v>
      </c>
      <c r="C40" s="2">
        <v>10610</v>
      </c>
      <c r="D40" s="2" t="s">
        <v>9</v>
      </c>
      <c r="E40" s="2" t="s">
        <v>10</v>
      </c>
      <c r="F40" s="2">
        <v>5</v>
      </c>
      <c r="G40" s="2" t="s">
        <v>74</v>
      </c>
      <c r="H40" s="2" t="s">
        <v>318</v>
      </c>
    </row>
    <row r="41" spans="1:8" x14ac:dyDescent="0.4">
      <c r="A41" s="2">
        <v>284170</v>
      </c>
      <c r="B41" s="2" t="s">
        <v>76</v>
      </c>
      <c r="C41" s="2">
        <v>18515</v>
      </c>
      <c r="D41" s="2" t="s">
        <v>9</v>
      </c>
      <c r="E41" s="2" t="s">
        <v>77</v>
      </c>
      <c r="F41" s="2">
        <v>4</v>
      </c>
      <c r="G41" s="2" t="s">
        <v>78</v>
      </c>
    </row>
    <row r="42" spans="1:8" x14ac:dyDescent="0.4">
      <c r="A42" s="2">
        <v>290390</v>
      </c>
      <c r="B42" s="2" t="s">
        <v>79</v>
      </c>
      <c r="C42" s="2">
        <v>18887</v>
      </c>
      <c r="D42" s="2" t="s">
        <v>9</v>
      </c>
      <c r="E42" s="2" t="s">
        <v>10</v>
      </c>
      <c r="F42" s="2">
        <v>4</v>
      </c>
      <c r="G42" s="2" t="s">
        <v>78</v>
      </c>
    </row>
    <row r="43" spans="1:8" x14ac:dyDescent="0.4">
      <c r="A43" s="2">
        <v>321050</v>
      </c>
      <c r="B43" s="2" t="s">
        <v>80</v>
      </c>
      <c r="C43" s="2">
        <v>20557</v>
      </c>
      <c r="D43" s="2" t="s">
        <v>9</v>
      </c>
      <c r="E43" s="2" t="s">
        <v>81</v>
      </c>
      <c r="F43" s="2">
        <v>5</v>
      </c>
      <c r="G43" s="2" t="s">
        <v>82</v>
      </c>
      <c r="H43" s="2" t="s">
        <v>318</v>
      </c>
    </row>
    <row r="44" spans="1:8" x14ac:dyDescent="0.4">
      <c r="A44" s="2">
        <v>313010</v>
      </c>
      <c r="B44" s="2" t="s">
        <v>68</v>
      </c>
      <c r="C44" s="2">
        <v>20272</v>
      </c>
      <c r="D44" s="2" t="s">
        <v>9</v>
      </c>
      <c r="E44" s="2" t="s">
        <v>10</v>
      </c>
      <c r="F44" s="2">
        <v>4</v>
      </c>
      <c r="G44" s="2" t="s">
        <v>83</v>
      </c>
    </row>
    <row r="45" spans="1:8" x14ac:dyDescent="0.4">
      <c r="A45" s="2">
        <v>300240</v>
      </c>
      <c r="B45" s="2" t="s">
        <v>17</v>
      </c>
      <c r="C45" s="2">
        <v>19323</v>
      </c>
      <c r="D45" s="2" t="s">
        <v>9</v>
      </c>
      <c r="E45" s="2" t="s">
        <v>84</v>
      </c>
      <c r="F45" s="2">
        <v>4</v>
      </c>
      <c r="G45" s="2" t="s">
        <v>85</v>
      </c>
    </row>
    <row r="46" spans="1:8" x14ac:dyDescent="0.4">
      <c r="A46" s="2">
        <v>342090</v>
      </c>
      <c r="B46" s="2" t="s">
        <v>86</v>
      </c>
      <c r="C46" s="2">
        <v>10727</v>
      </c>
      <c r="D46" s="2" t="s">
        <v>9</v>
      </c>
      <c r="E46" s="2" t="s">
        <v>10</v>
      </c>
      <c r="F46" s="2">
        <v>4</v>
      </c>
      <c r="G46" s="2" t="s">
        <v>87</v>
      </c>
    </row>
    <row r="47" spans="1:8" x14ac:dyDescent="0.4">
      <c r="A47" s="2">
        <v>290030</v>
      </c>
      <c r="B47" s="2" t="s">
        <v>88</v>
      </c>
      <c r="C47" s="2">
        <v>18740</v>
      </c>
      <c r="D47" s="2" t="s">
        <v>9</v>
      </c>
      <c r="E47" s="2" t="s">
        <v>89</v>
      </c>
      <c r="F47" s="2">
        <v>4</v>
      </c>
      <c r="G47" s="2" t="s">
        <v>90</v>
      </c>
    </row>
    <row r="48" spans="1:8" x14ac:dyDescent="0.4">
      <c r="A48" s="2">
        <v>353010</v>
      </c>
      <c r="B48" s="2" t="s">
        <v>91</v>
      </c>
      <c r="C48" s="2">
        <v>11666</v>
      </c>
      <c r="D48" s="2" t="s">
        <v>9</v>
      </c>
      <c r="E48" s="2" t="s">
        <v>92</v>
      </c>
      <c r="F48" s="2">
        <v>4</v>
      </c>
      <c r="G48" s="2" t="s">
        <v>93</v>
      </c>
    </row>
    <row r="49" spans="1:9" x14ac:dyDescent="0.4">
      <c r="A49" s="2">
        <v>267040</v>
      </c>
      <c r="B49" s="2" t="s">
        <v>94</v>
      </c>
      <c r="C49" s="2">
        <v>16567</v>
      </c>
      <c r="D49" s="2" t="s">
        <v>9</v>
      </c>
      <c r="E49" s="2" t="s">
        <v>10</v>
      </c>
      <c r="F49" s="2">
        <v>4</v>
      </c>
      <c r="G49" s="2" t="s">
        <v>95</v>
      </c>
    </row>
    <row r="50" spans="1:9" x14ac:dyDescent="0.4">
      <c r="A50" s="2">
        <v>263280</v>
      </c>
      <c r="B50" s="2" t="s">
        <v>13</v>
      </c>
      <c r="C50" s="2">
        <v>15956</v>
      </c>
      <c r="D50" s="2" t="s">
        <v>9</v>
      </c>
      <c r="E50" s="2" t="s">
        <v>10</v>
      </c>
      <c r="F50" s="2">
        <v>4</v>
      </c>
      <c r="G50" s="2" t="s">
        <v>95</v>
      </c>
    </row>
    <row r="51" spans="1:9" x14ac:dyDescent="0.4">
      <c r="A51" s="2">
        <v>273070</v>
      </c>
      <c r="B51" s="2" t="s">
        <v>96</v>
      </c>
      <c r="C51" s="2">
        <v>16853</v>
      </c>
      <c r="D51" s="2" t="s">
        <v>9</v>
      </c>
      <c r="E51" s="2" t="s">
        <v>97</v>
      </c>
      <c r="F51" s="2">
        <v>4</v>
      </c>
      <c r="G51" s="2" t="s">
        <v>98</v>
      </c>
    </row>
    <row r="52" spans="1:9" x14ac:dyDescent="0.4">
      <c r="A52" s="2">
        <v>300270</v>
      </c>
      <c r="B52" s="2" t="s">
        <v>48</v>
      </c>
      <c r="C52" s="2">
        <v>19579</v>
      </c>
      <c r="D52" s="2" t="s">
        <v>9</v>
      </c>
      <c r="E52" s="2" t="s">
        <v>99</v>
      </c>
      <c r="F52" s="2">
        <v>4</v>
      </c>
      <c r="G52" s="2" t="s">
        <v>100</v>
      </c>
    </row>
    <row r="53" spans="1:9" x14ac:dyDescent="0.4">
      <c r="A53" s="2">
        <v>264020</v>
      </c>
      <c r="B53" s="2" t="s">
        <v>101</v>
      </c>
      <c r="C53" s="2">
        <v>16210</v>
      </c>
      <c r="D53" s="2" t="s">
        <v>9</v>
      </c>
      <c r="E53" s="2" t="s">
        <v>10</v>
      </c>
      <c r="F53" s="2">
        <v>5</v>
      </c>
      <c r="G53" s="2" t="s">
        <v>102</v>
      </c>
    </row>
    <row r="54" spans="1:9" x14ac:dyDescent="0.4">
      <c r="A54" s="2">
        <v>357150</v>
      </c>
      <c r="B54" s="2" t="s">
        <v>22</v>
      </c>
      <c r="C54" s="2">
        <v>12215</v>
      </c>
      <c r="D54" s="2" t="s">
        <v>9</v>
      </c>
      <c r="E54" s="2" t="s">
        <v>337</v>
      </c>
      <c r="F54" s="2">
        <v>3</v>
      </c>
      <c r="G54" s="2">
        <v>1960</v>
      </c>
      <c r="H54" s="3" t="s">
        <v>321</v>
      </c>
      <c r="I54" s="2" t="s">
        <v>338</v>
      </c>
    </row>
    <row r="55" spans="1:9" s="18" customFormat="1" x14ac:dyDescent="0.4">
      <c r="A55" s="17">
        <v>300250</v>
      </c>
      <c r="B55" s="17" t="s">
        <v>103</v>
      </c>
      <c r="C55" s="17">
        <v>19336</v>
      </c>
      <c r="D55" s="17" t="s">
        <v>9</v>
      </c>
      <c r="E55" s="17" t="s">
        <v>10</v>
      </c>
      <c r="F55" s="17">
        <v>5</v>
      </c>
      <c r="G55" s="17" t="s">
        <v>104</v>
      </c>
      <c r="H55" s="19"/>
    </row>
    <row r="56" spans="1:9" x14ac:dyDescent="0.4">
      <c r="A56" s="2">
        <v>357140</v>
      </c>
      <c r="B56" s="2" t="s">
        <v>105</v>
      </c>
      <c r="C56" s="2">
        <v>12188</v>
      </c>
      <c r="D56" s="2" t="s">
        <v>9</v>
      </c>
      <c r="E56" s="2" t="s">
        <v>106</v>
      </c>
      <c r="F56" s="2">
        <v>4</v>
      </c>
      <c r="G56" s="2" t="s">
        <v>104</v>
      </c>
    </row>
    <row r="57" spans="1:9" x14ac:dyDescent="0.4">
      <c r="A57" s="2">
        <v>313040</v>
      </c>
      <c r="B57" s="2" t="s">
        <v>55</v>
      </c>
      <c r="C57" s="2">
        <v>20397</v>
      </c>
      <c r="D57" s="2" t="s">
        <v>9</v>
      </c>
      <c r="E57" s="2" t="s">
        <v>56</v>
      </c>
      <c r="F57" s="2">
        <v>4</v>
      </c>
      <c r="G57" s="2" t="s">
        <v>107</v>
      </c>
    </row>
    <row r="58" spans="1:9" x14ac:dyDescent="0.4">
      <c r="A58" s="2">
        <v>255020</v>
      </c>
      <c r="B58" s="2" t="s">
        <v>108</v>
      </c>
      <c r="C58" s="2">
        <v>15128</v>
      </c>
      <c r="D58" s="2" t="s">
        <v>9</v>
      </c>
      <c r="E58" s="2" t="s">
        <v>10</v>
      </c>
      <c r="F58" s="2">
        <v>4</v>
      </c>
      <c r="G58" s="2" t="s">
        <v>109</v>
      </c>
    </row>
    <row r="59" spans="1:9" x14ac:dyDescent="0.4">
      <c r="A59" s="2">
        <v>263280</v>
      </c>
      <c r="B59" s="2" t="s">
        <v>13</v>
      </c>
      <c r="C59" s="2">
        <v>15955</v>
      </c>
      <c r="D59" s="2" t="s">
        <v>9</v>
      </c>
      <c r="E59" s="2" t="s">
        <v>10</v>
      </c>
      <c r="F59" s="2">
        <v>4</v>
      </c>
      <c r="G59" s="2" t="s">
        <v>110</v>
      </c>
    </row>
    <row r="60" spans="1:9" x14ac:dyDescent="0.4">
      <c r="A60" s="2">
        <v>253010</v>
      </c>
      <c r="B60" s="2" t="s">
        <v>111</v>
      </c>
      <c r="C60" s="2">
        <v>15105</v>
      </c>
      <c r="D60" s="2" t="s">
        <v>9</v>
      </c>
      <c r="E60" s="2" t="s">
        <v>10</v>
      </c>
      <c r="F60" s="2">
        <v>4</v>
      </c>
      <c r="G60" s="2" t="s">
        <v>110</v>
      </c>
    </row>
    <row r="61" spans="1:9" x14ac:dyDescent="0.4">
      <c r="A61" s="2">
        <v>257040</v>
      </c>
      <c r="B61" s="2" t="s">
        <v>112</v>
      </c>
      <c r="C61" s="2">
        <v>15262</v>
      </c>
      <c r="D61" s="2" t="s">
        <v>9</v>
      </c>
      <c r="E61" s="2" t="s">
        <v>113</v>
      </c>
      <c r="F61" s="2">
        <v>4</v>
      </c>
      <c r="G61" s="2" t="s">
        <v>114</v>
      </c>
    </row>
    <row r="62" spans="1:9" x14ac:dyDescent="0.4">
      <c r="A62" s="2">
        <v>372070</v>
      </c>
      <c r="B62" s="2" t="s">
        <v>115</v>
      </c>
      <c r="C62" s="2">
        <v>12749</v>
      </c>
      <c r="D62" s="2" t="s">
        <v>9</v>
      </c>
      <c r="E62" s="2" t="s">
        <v>116</v>
      </c>
      <c r="F62" s="2">
        <v>4</v>
      </c>
      <c r="G62" s="2" t="s">
        <v>117</v>
      </c>
    </row>
    <row r="63" spans="1:9" x14ac:dyDescent="0.4">
      <c r="A63" s="2">
        <v>290240</v>
      </c>
      <c r="B63" s="2" t="s">
        <v>30</v>
      </c>
      <c r="C63" s="2">
        <v>18812</v>
      </c>
      <c r="D63" s="2" t="s">
        <v>9</v>
      </c>
      <c r="E63" s="2" t="s">
        <v>10</v>
      </c>
      <c r="F63" s="2">
        <v>4</v>
      </c>
      <c r="G63" s="2" t="s">
        <v>118</v>
      </c>
    </row>
    <row r="64" spans="1:9" x14ac:dyDescent="0.4">
      <c r="A64" s="2">
        <v>300100</v>
      </c>
      <c r="B64" s="2" t="s">
        <v>119</v>
      </c>
      <c r="C64" s="2">
        <v>19102</v>
      </c>
      <c r="D64" s="2" t="s">
        <v>9</v>
      </c>
      <c r="E64" s="2" t="s">
        <v>10</v>
      </c>
      <c r="F64" s="2">
        <v>4</v>
      </c>
      <c r="G64" s="2" t="s">
        <v>120</v>
      </c>
    </row>
    <row r="65" spans="1:9" x14ac:dyDescent="0.4">
      <c r="A65" s="2">
        <v>341060</v>
      </c>
      <c r="B65" s="2" t="s">
        <v>121</v>
      </c>
      <c r="C65" s="2">
        <v>10486</v>
      </c>
      <c r="D65" s="2" t="s">
        <v>9</v>
      </c>
      <c r="E65" s="2" t="s">
        <v>122</v>
      </c>
      <c r="F65" s="2">
        <v>4</v>
      </c>
      <c r="G65" s="2" t="s">
        <v>123</v>
      </c>
    </row>
    <row r="66" spans="1:9" x14ac:dyDescent="0.4">
      <c r="A66" s="2">
        <v>252140</v>
      </c>
      <c r="B66" s="2" t="s">
        <v>37</v>
      </c>
      <c r="C66" s="2">
        <v>15090</v>
      </c>
      <c r="D66" s="2" t="s">
        <v>9</v>
      </c>
      <c r="E66" s="2" t="s">
        <v>124</v>
      </c>
      <c r="F66" s="2">
        <v>4</v>
      </c>
      <c r="G66" s="2" t="s">
        <v>125</v>
      </c>
    </row>
    <row r="67" spans="1:9" x14ac:dyDescent="0.4">
      <c r="A67" s="2">
        <v>282050</v>
      </c>
      <c r="B67" s="2" t="s">
        <v>126</v>
      </c>
      <c r="C67" s="2">
        <v>16971</v>
      </c>
      <c r="D67" s="2" t="s">
        <v>9</v>
      </c>
      <c r="E67" s="2" t="s">
        <v>127</v>
      </c>
      <c r="F67" s="2">
        <v>4</v>
      </c>
      <c r="G67" s="2" t="s">
        <v>128</v>
      </c>
    </row>
    <row r="68" spans="1:9" x14ac:dyDescent="0.4">
      <c r="A68" s="2">
        <v>261270</v>
      </c>
      <c r="B68" s="2" t="s">
        <v>129</v>
      </c>
      <c r="C68" s="2">
        <v>15579</v>
      </c>
      <c r="D68" s="2" t="s">
        <v>9</v>
      </c>
      <c r="E68" s="2" t="s">
        <v>130</v>
      </c>
      <c r="F68" s="2">
        <v>4</v>
      </c>
      <c r="G68" s="2" t="s">
        <v>128</v>
      </c>
    </row>
    <row r="69" spans="1:9" x14ac:dyDescent="0.4">
      <c r="A69" s="2">
        <v>290300</v>
      </c>
      <c r="B69" s="2" t="s">
        <v>131</v>
      </c>
      <c r="C69" s="2">
        <v>17621</v>
      </c>
      <c r="D69" s="2" t="s">
        <v>9</v>
      </c>
      <c r="E69" s="2" t="s">
        <v>132</v>
      </c>
      <c r="F69" s="2">
        <v>5</v>
      </c>
      <c r="G69" s="2" t="s">
        <v>128</v>
      </c>
    </row>
    <row r="70" spans="1:9" x14ac:dyDescent="0.4">
      <c r="A70" s="2">
        <v>342090</v>
      </c>
      <c r="B70" s="2" t="s">
        <v>86</v>
      </c>
      <c r="C70" s="2">
        <v>10716</v>
      </c>
      <c r="D70" s="2" t="s">
        <v>9</v>
      </c>
      <c r="E70" s="2" t="s">
        <v>10</v>
      </c>
      <c r="F70" s="2">
        <v>4</v>
      </c>
      <c r="G70" s="2" t="s">
        <v>133</v>
      </c>
    </row>
    <row r="71" spans="1:9" x14ac:dyDescent="0.4">
      <c r="A71" s="2">
        <v>312090</v>
      </c>
      <c r="B71" s="2" t="s">
        <v>134</v>
      </c>
      <c r="C71" s="2">
        <v>20192</v>
      </c>
      <c r="D71" s="2" t="s">
        <v>9</v>
      </c>
      <c r="E71" s="2" t="s">
        <v>135</v>
      </c>
      <c r="F71" s="2">
        <v>4</v>
      </c>
      <c r="G71" s="2" t="s">
        <v>136</v>
      </c>
    </row>
    <row r="72" spans="1:9" x14ac:dyDescent="0.4">
      <c r="A72" s="2">
        <v>300260</v>
      </c>
      <c r="B72" s="2" t="s">
        <v>64</v>
      </c>
      <c r="C72" s="2">
        <v>19203</v>
      </c>
      <c r="D72" s="2" t="s">
        <v>9</v>
      </c>
      <c r="E72" s="2" t="s">
        <v>10</v>
      </c>
      <c r="F72" s="2">
        <v>4</v>
      </c>
      <c r="G72" s="2" t="s">
        <v>136</v>
      </c>
    </row>
    <row r="73" spans="1:9" s="18" customFormat="1" x14ac:dyDescent="0.4">
      <c r="A73" s="17">
        <v>285020</v>
      </c>
      <c r="B73" s="17" t="s">
        <v>137</v>
      </c>
      <c r="C73" s="17">
        <v>18575</v>
      </c>
      <c r="D73" s="17" t="s">
        <v>9</v>
      </c>
      <c r="E73" s="17" t="s">
        <v>138</v>
      </c>
      <c r="F73" s="17">
        <v>4</v>
      </c>
      <c r="G73" s="17" t="s">
        <v>139</v>
      </c>
      <c r="H73" s="19" t="s">
        <v>318</v>
      </c>
    </row>
    <row r="74" spans="1:9" x14ac:dyDescent="0.4">
      <c r="A74" s="2">
        <v>300100</v>
      </c>
      <c r="B74" s="2" t="s">
        <v>119</v>
      </c>
      <c r="C74" s="2">
        <v>19099</v>
      </c>
      <c r="D74" s="2" t="s">
        <v>9</v>
      </c>
      <c r="E74" s="2" t="s">
        <v>10</v>
      </c>
      <c r="F74" s="2">
        <v>4</v>
      </c>
      <c r="G74" s="2" t="s">
        <v>140</v>
      </c>
    </row>
    <row r="75" spans="1:9" x14ac:dyDescent="0.4">
      <c r="A75" s="2">
        <v>282010</v>
      </c>
      <c r="B75" s="2" t="s">
        <v>141</v>
      </c>
      <c r="C75" s="2">
        <v>16910</v>
      </c>
      <c r="D75" s="2" t="s">
        <v>9</v>
      </c>
      <c r="E75" s="2" t="s">
        <v>10</v>
      </c>
      <c r="F75" s="2">
        <v>4</v>
      </c>
      <c r="G75" s="2" t="s">
        <v>142</v>
      </c>
      <c r="H75" s="3" t="s">
        <v>339</v>
      </c>
      <c r="I75" s="2" t="s">
        <v>340</v>
      </c>
    </row>
    <row r="76" spans="1:9" x14ac:dyDescent="0.4">
      <c r="A76" s="2">
        <v>290250</v>
      </c>
      <c r="B76" s="2" t="s">
        <v>143</v>
      </c>
      <c r="C76" s="2">
        <v>18823</v>
      </c>
      <c r="D76" s="2" t="s">
        <v>9</v>
      </c>
      <c r="E76" s="2" t="s">
        <v>10</v>
      </c>
      <c r="F76" s="2">
        <v>4</v>
      </c>
      <c r="G76" s="2" t="s">
        <v>142</v>
      </c>
    </row>
    <row r="77" spans="1:9" x14ac:dyDescent="0.4">
      <c r="A77" s="2">
        <v>251020</v>
      </c>
      <c r="B77" s="2" t="s">
        <v>40</v>
      </c>
      <c r="C77" s="2">
        <v>14907</v>
      </c>
      <c r="D77" s="2" t="s">
        <v>9</v>
      </c>
      <c r="E77" s="2" t="s">
        <v>41</v>
      </c>
      <c r="F77" s="2">
        <v>4</v>
      </c>
      <c r="G77" s="2" t="s">
        <v>144</v>
      </c>
    </row>
    <row r="78" spans="1:9" x14ac:dyDescent="0.4">
      <c r="A78" s="2">
        <v>263280</v>
      </c>
      <c r="B78" s="2" t="s">
        <v>13</v>
      </c>
      <c r="C78" s="2">
        <v>15953</v>
      </c>
      <c r="D78" s="2" t="s">
        <v>9</v>
      </c>
      <c r="E78" s="2" t="s">
        <v>10</v>
      </c>
      <c r="F78" s="2">
        <v>4</v>
      </c>
      <c r="G78" s="2" t="s">
        <v>144</v>
      </c>
    </row>
    <row r="79" spans="1:9" x14ac:dyDescent="0.4">
      <c r="A79" s="2">
        <v>372030</v>
      </c>
      <c r="B79" s="2" t="s">
        <v>145</v>
      </c>
      <c r="C79" s="2">
        <v>12677</v>
      </c>
      <c r="D79" s="2" t="s">
        <v>9</v>
      </c>
      <c r="E79" s="2" t="s">
        <v>146</v>
      </c>
      <c r="F79" s="2">
        <v>4</v>
      </c>
      <c r="G79" s="2" t="s">
        <v>147</v>
      </c>
    </row>
    <row r="80" spans="1:9" x14ac:dyDescent="0.4">
      <c r="A80" s="2">
        <v>284160</v>
      </c>
      <c r="B80" s="2" t="s">
        <v>148</v>
      </c>
      <c r="C80" s="2">
        <v>18502</v>
      </c>
      <c r="D80" s="2" t="s">
        <v>9</v>
      </c>
      <c r="E80" s="2" t="s">
        <v>10</v>
      </c>
      <c r="F80" s="2">
        <v>4</v>
      </c>
      <c r="G80" s="2" t="s">
        <v>149</v>
      </c>
    </row>
    <row r="81" spans="1:8" x14ac:dyDescent="0.4">
      <c r="A81" s="2">
        <v>352080</v>
      </c>
      <c r="B81" s="2" t="s">
        <v>150</v>
      </c>
      <c r="C81" s="2">
        <v>11640</v>
      </c>
      <c r="D81" s="2" t="s">
        <v>9</v>
      </c>
      <c r="E81" s="2" t="s">
        <v>10</v>
      </c>
      <c r="F81" s="2">
        <v>4</v>
      </c>
      <c r="G81" s="2" t="s">
        <v>151</v>
      </c>
    </row>
    <row r="82" spans="1:8" s="18" customFormat="1" x14ac:dyDescent="0.4">
      <c r="A82" s="17">
        <v>357060</v>
      </c>
      <c r="B82" s="17" t="s">
        <v>152</v>
      </c>
      <c r="C82" s="17">
        <v>11957</v>
      </c>
      <c r="D82" s="17" t="s">
        <v>9</v>
      </c>
      <c r="E82" s="17" t="s">
        <v>153</v>
      </c>
      <c r="F82" s="17">
        <v>5</v>
      </c>
      <c r="G82" s="17" t="s">
        <v>151</v>
      </c>
      <c r="H82" s="19"/>
    </row>
    <row r="83" spans="1:8" s="18" customFormat="1" x14ac:dyDescent="0.4">
      <c r="A83" s="17">
        <v>282080</v>
      </c>
      <c r="B83" s="17" t="s">
        <v>154</v>
      </c>
      <c r="C83" s="17">
        <v>17077</v>
      </c>
      <c r="D83" s="17" t="s">
        <v>9</v>
      </c>
      <c r="E83" s="17" t="s">
        <v>155</v>
      </c>
      <c r="F83" s="17">
        <v>4</v>
      </c>
      <c r="G83" s="17" t="s">
        <v>156</v>
      </c>
      <c r="H83" s="19" t="s">
        <v>318</v>
      </c>
    </row>
    <row r="84" spans="1:8" x14ac:dyDescent="0.4">
      <c r="A84" s="2">
        <v>341040</v>
      </c>
      <c r="B84" s="2" t="s">
        <v>157</v>
      </c>
      <c r="C84" s="2">
        <v>10459</v>
      </c>
      <c r="D84" s="2" t="s">
        <v>9</v>
      </c>
      <c r="E84" s="2" t="s">
        <v>10</v>
      </c>
      <c r="F84" s="2">
        <v>4</v>
      </c>
      <c r="G84" s="2" t="s">
        <v>158</v>
      </c>
    </row>
    <row r="85" spans="1:8" s="18" customFormat="1" x14ac:dyDescent="0.4">
      <c r="A85" s="17">
        <v>312180</v>
      </c>
      <c r="B85" s="17" t="s">
        <v>159</v>
      </c>
      <c r="C85" s="17">
        <v>20243</v>
      </c>
      <c r="D85" s="17" t="s">
        <v>9</v>
      </c>
      <c r="E85" s="17" t="s">
        <v>10</v>
      </c>
      <c r="F85" s="17">
        <v>6</v>
      </c>
      <c r="G85" s="17" t="s">
        <v>160</v>
      </c>
      <c r="H85" s="19" t="s">
        <v>318</v>
      </c>
    </row>
    <row r="86" spans="1:8" x14ac:dyDescent="0.4">
      <c r="A86" s="2">
        <v>252130</v>
      </c>
      <c r="B86" s="2" t="s">
        <v>161</v>
      </c>
      <c r="C86" s="2">
        <v>15083</v>
      </c>
      <c r="D86" s="2" t="s">
        <v>9</v>
      </c>
      <c r="E86" s="2" t="s">
        <v>162</v>
      </c>
      <c r="F86" s="2">
        <v>4</v>
      </c>
      <c r="G86" s="2" t="s">
        <v>163</v>
      </c>
    </row>
    <row r="87" spans="1:8" x14ac:dyDescent="0.4">
      <c r="A87" s="2">
        <v>300050</v>
      </c>
      <c r="B87" s="2" t="s">
        <v>164</v>
      </c>
      <c r="C87" s="2">
        <v>18941</v>
      </c>
      <c r="D87" s="2" t="s">
        <v>9</v>
      </c>
      <c r="E87" s="2" t="s">
        <v>165</v>
      </c>
      <c r="F87" s="2">
        <v>5</v>
      </c>
      <c r="G87" s="2" t="s">
        <v>166</v>
      </c>
    </row>
    <row r="88" spans="1:8" x14ac:dyDescent="0.4">
      <c r="A88" s="2">
        <v>252130</v>
      </c>
      <c r="B88" s="2" t="s">
        <v>161</v>
      </c>
      <c r="C88" s="2">
        <v>15081</v>
      </c>
      <c r="D88" s="2" t="s">
        <v>9</v>
      </c>
      <c r="E88" s="2" t="s">
        <v>167</v>
      </c>
      <c r="F88" s="2">
        <v>4</v>
      </c>
      <c r="G88" s="2" t="s">
        <v>168</v>
      </c>
    </row>
    <row r="89" spans="1:8" x14ac:dyDescent="0.4">
      <c r="A89" s="2">
        <v>373012</v>
      </c>
      <c r="B89" s="2" t="s">
        <v>169</v>
      </c>
      <c r="C89" s="2">
        <v>12823</v>
      </c>
      <c r="D89" s="2" t="s">
        <v>9</v>
      </c>
      <c r="E89" s="2" t="s">
        <v>170</v>
      </c>
      <c r="F89" s="2">
        <v>4</v>
      </c>
      <c r="G89" s="2" t="s">
        <v>171</v>
      </c>
    </row>
    <row r="90" spans="1:8" x14ac:dyDescent="0.4">
      <c r="A90" s="2">
        <v>342030</v>
      </c>
      <c r="B90" s="2" t="s">
        <v>172</v>
      </c>
      <c r="C90" s="2">
        <v>10624</v>
      </c>
      <c r="D90" s="2" t="s">
        <v>9</v>
      </c>
      <c r="E90" s="2" t="s">
        <v>173</v>
      </c>
      <c r="F90" s="2">
        <v>6</v>
      </c>
      <c r="G90" s="2" t="s">
        <v>171</v>
      </c>
      <c r="H90" s="3" t="s">
        <v>318</v>
      </c>
    </row>
    <row r="91" spans="1:8" x14ac:dyDescent="0.4">
      <c r="A91" s="2">
        <v>360150</v>
      </c>
      <c r="B91" s="2" t="s">
        <v>174</v>
      </c>
      <c r="C91" s="2">
        <v>12453</v>
      </c>
      <c r="D91" s="2" t="s">
        <v>9</v>
      </c>
      <c r="E91" s="2" t="s">
        <v>10</v>
      </c>
      <c r="F91" s="2">
        <v>4</v>
      </c>
      <c r="G91" s="2" t="s">
        <v>171</v>
      </c>
    </row>
    <row r="92" spans="1:8" x14ac:dyDescent="0.4">
      <c r="A92" s="2">
        <v>360120</v>
      </c>
      <c r="B92" s="2" t="s">
        <v>175</v>
      </c>
      <c r="C92" s="2">
        <v>12430</v>
      </c>
      <c r="D92" s="2" t="s">
        <v>9</v>
      </c>
      <c r="E92" s="2" t="s">
        <v>176</v>
      </c>
      <c r="F92" s="2">
        <v>4</v>
      </c>
      <c r="G92" s="2" t="s">
        <v>171</v>
      </c>
    </row>
    <row r="93" spans="1:8" s="7" customFormat="1" x14ac:dyDescent="0.4">
      <c r="A93" s="5">
        <v>351070</v>
      </c>
      <c r="B93" s="5" t="s">
        <v>177</v>
      </c>
      <c r="C93" s="5">
        <v>11341</v>
      </c>
      <c r="D93" s="5" t="s">
        <v>9</v>
      </c>
      <c r="E93" s="5" t="s">
        <v>10</v>
      </c>
      <c r="F93" s="5">
        <v>4</v>
      </c>
      <c r="G93" s="5" t="s">
        <v>178</v>
      </c>
      <c r="H93" s="6"/>
    </row>
    <row r="94" spans="1:8" s="7" customFormat="1" x14ac:dyDescent="0.4">
      <c r="A94" s="5">
        <v>273030</v>
      </c>
      <c r="B94" s="5" t="s">
        <v>179</v>
      </c>
      <c r="C94" s="5">
        <v>16794</v>
      </c>
      <c r="D94" s="5" t="s">
        <v>9</v>
      </c>
      <c r="E94" s="5" t="s">
        <v>10</v>
      </c>
      <c r="F94" s="5">
        <v>4</v>
      </c>
      <c r="G94" s="5" t="s">
        <v>178</v>
      </c>
      <c r="H94" s="6"/>
    </row>
    <row r="95" spans="1:8" s="7" customFormat="1" x14ac:dyDescent="0.4">
      <c r="A95" s="5">
        <v>358020</v>
      </c>
      <c r="B95" s="5" t="s">
        <v>12</v>
      </c>
      <c r="C95" s="5">
        <v>12252</v>
      </c>
      <c r="D95" s="5" t="s">
        <v>9</v>
      </c>
      <c r="E95" s="5" t="s">
        <v>10</v>
      </c>
      <c r="F95" s="5">
        <v>4</v>
      </c>
      <c r="G95" s="5" t="s">
        <v>180</v>
      </c>
      <c r="H95" s="6"/>
    </row>
    <row r="96" spans="1:8" x14ac:dyDescent="0.4">
      <c r="A96" s="2">
        <v>282030</v>
      </c>
      <c r="B96" s="2" t="s">
        <v>181</v>
      </c>
      <c r="C96" s="2">
        <v>16926</v>
      </c>
      <c r="D96" s="2" t="s">
        <v>9</v>
      </c>
      <c r="E96" s="2" t="s">
        <v>182</v>
      </c>
      <c r="F96" s="2">
        <v>4</v>
      </c>
      <c r="G96" s="2" t="s">
        <v>183</v>
      </c>
    </row>
    <row r="97" spans="1:9" s="7" customFormat="1" x14ac:dyDescent="0.4">
      <c r="A97" s="5">
        <v>341040</v>
      </c>
      <c r="B97" s="5" t="s">
        <v>157</v>
      </c>
      <c r="C97" s="5">
        <v>10452</v>
      </c>
      <c r="D97" s="5" t="s">
        <v>9</v>
      </c>
      <c r="E97" s="5" t="s">
        <v>10</v>
      </c>
      <c r="F97" s="5">
        <v>4</v>
      </c>
      <c r="G97" s="5" t="s">
        <v>183</v>
      </c>
      <c r="H97" s="6"/>
    </row>
    <row r="98" spans="1:9" s="7" customFormat="1" x14ac:dyDescent="0.4">
      <c r="A98" s="5">
        <v>283160</v>
      </c>
      <c r="B98" s="5" t="s">
        <v>184</v>
      </c>
      <c r="C98" s="5">
        <v>17900</v>
      </c>
      <c r="D98" s="5" t="s">
        <v>9</v>
      </c>
      <c r="E98" s="5" t="s">
        <v>185</v>
      </c>
      <c r="F98" s="5">
        <v>4</v>
      </c>
      <c r="G98" s="5" t="s">
        <v>186</v>
      </c>
      <c r="H98" s="6" t="s">
        <v>366</v>
      </c>
    </row>
    <row r="99" spans="1:9" x14ac:dyDescent="0.4">
      <c r="A99" s="2">
        <v>243110</v>
      </c>
      <c r="B99" s="2" t="s">
        <v>187</v>
      </c>
      <c r="C99" s="2">
        <v>14789</v>
      </c>
      <c r="D99" s="2" t="s">
        <v>9</v>
      </c>
      <c r="E99" s="2" t="s">
        <v>188</v>
      </c>
      <c r="F99" s="2">
        <v>4</v>
      </c>
      <c r="G99" s="2" t="s">
        <v>189</v>
      </c>
    </row>
    <row r="100" spans="1:9" x14ac:dyDescent="0.4">
      <c r="A100" s="2">
        <v>241050</v>
      </c>
      <c r="B100" s="2" t="s">
        <v>190</v>
      </c>
      <c r="C100" s="2">
        <v>14506</v>
      </c>
      <c r="D100" s="2" t="s">
        <v>9</v>
      </c>
      <c r="E100" s="2" t="s">
        <v>191</v>
      </c>
      <c r="F100" s="2">
        <v>5</v>
      </c>
      <c r="G100" s="2" t="s">
        <v>189</v>
      </c>
      <c r="H100" s="3" t="s">
        <v>365</v>
      </c>
    </row>
    <row r="101" spans="1:9" s="7" customFormat="1" x14ac:dyDescent="0.4">
      <c r="A101" s="5">
        <v>352080</v>
      </c>
      <c r="B101" s="5" t="s">
        <v>150</v>
      </c>
      <c r="C101" s="5">
        <v>11638</v>
      </c>
      <c r="D101" s="5" t="s">
        <v>9</v>
      </c>
      <c r="E101" s="5" t="s">
        <v>10</v>
      </c>
      <c r="F101" s="5">
        <v>4</v>
      </c>
      <c r="G101" s="5" t="s">
        <v>189</v>
      </c>
      <c r="H101" s="6"/>
    </row>
    <row r="102" spans="1:9" s="7" customFormat="1" x14ac:dyDescent="0.4">
      <c r="A102" s="5">
        <v>313010</v>
      </c>
      <c r="B102" s="5" t="s">
        <v>68</v>
      </c>
      <c r="C102" s="5">
        <v>20266</v>
      </c>
      <c r="D102" s="5" t="s">
        <v>9</v>
      </c>
      <c r="E102" s="5" t="s">
        <v>10</v>
      </c>
      <c r="F102" s="5">
        <v>4</v>
      </c>
      <c r="G102" s="5" t="s">
        <v>192</v>
      </c>
      <c r="H102" s="6"/>
    </row>
    <row r="103" spans="1:9" s="18" customFormat="1" x14ac:dyDescent="0.4">
      <c r="A103" s="17">
        <v>262000</v>
      </c>
      <c r="B103" s="17" t="s">
        <v>193</v>
      </c>
      <c r="C103" s="17">
        <v>15589</v>
      </c>
      <c r="D103" s="17" t="s">
        <v>9</v>
      </c>
      <c r="E103" s="17" t="s">
        <v>194</v>
      </c>
      <c r="F103" s="17">
        <v>6</v>
      </c>
      <c r="G103" s="17" t="s">
        <v>192</v>
      </c>
      <c r="H103" s="19" t="s">
        <v>318</v>
      </c>
      <c r="I103" s="17" t="s">
        <v>341</v>
      </c>
    </row>
    <row r="104" spans="1:9" s="7" customFormat="1" x14ac:dyDescent="0.4">
      <c r="A104" s="5">
        <v>342090</v>
      </c>
      <c r="B104" s="5" t="s">
        <v>86</v>
      </c>
      <c r="C104" s="5">
        <v>10714</v>
      </c>
      <c r="D104" s="5" t="s">
        <v>9</v>
      </c>
      <c r="E104" s="5" t="s">
        <v>10</v>
      </c>
      <c r="F104" s="5">
        <v>4</v>
      </c>
      <c r="G104" s="5" t="s">
        <v>195</v>
      </c>
      <c r="H104" s="6"/>
    </row>
    <row r="105" spans="1:9" s="7" customFormat="1" x14ac:dyDescent="0.4">
      <c r="A105" s="5">
        <v>352050</v>
      </c>
      <c r="B105" s="5" t="s">
        <v>196</v>
      </c>
      <c r="C105" s="5">
        <v>11576</v>
      </c>
      <c r="D105" s="5" t="s">
        <v>9</v>
      </c>
      <c r="E105" s="5" t="s">
        <v>10</v>
      </c>
      <c r="F105" s="5">
        <v>4</v>
      </c>
      <c r="G105" s="5" t="s">
        <v>197</v>
      </c>
      <c r="H105" s="6"/>
    </row>
    <row r="106" spans="1:9" x14ac:dyDescent="0.4">
      <c r="A106" s="2">
        <v>282030</v>
      </c>
      <c r="B106" s="2" t="s">
        <v>181</v>
      </c>
      <c r="C106" s="2">
        <v>16923</v>
      </c>
      <c r="D106" s="2" t="s">
        <v>9</v>
      </c>
      <c r="E106" s="2" t="s">
        <v>10</v>
      </c>
      <c r="F106" s="2">
        <v>4</v>
      </c>
      <c r="G106" s="2" t="s">
        <v>197</v>
      </c>
    </row>
    <row r="107" spans="1:9" x14ac:dyDescent="0.4">
      <c r="A107" s="2">
        <v>211020</v>
      </c>
      <c r="B107" s="2" t="s">
        <v>198</v>
      </c>
      <c r="C107" s="2">
        <v>13360</v>
      </c>
      <c r="D107" s="2" t="s">
        <v>9</v>
      </c>
      <c r="E107" s="2" t="s">
        <v>199</v>
      </c>
      <c r="F107" s="2">
        <v>4</v>
      </c>
      <c r="G107" s="2" t="s">
        <v>200</v>
      </c>
    </row>
    <row r="108" spans="1:9" x14ac:dyDescent="0.4">
      <c r="A108" s="2">
        <v>373060</v>
      </c>
      <c r="B108" s="2" t="s">
        <v>201</v>
      </c>
      <c r="C108" s="2">
        <v>12911</v>
      </c>
      <c r="D108" s="2" t="s">
        <v>9</v>
      </c>
      <c r="E108" s="2" t="s">
        <v>202</v>
      </c>
      <c r="F108" s="2">
        <v>5</v>
      </c>
      <c r="G108" s="2" t="s">
        <v>200</v>
      </c>
    </row>
    <row r="109" spans="1:9" s="7" customFormat="1" x14ac:dyDescent="0.4">
      <c r="A109" s="5">
        <v>373010</v>
      </c>
      <c r="B109" s="5" t="s">
        <v>24</v>
      </c>
      <c r="C109" s="5">
        <v>12818</v>
      </c>
      <c r="D109" s="5" t="s">
        <v>9</v>
      </c>
      <c r="E109" s="5" t="s">
        <v>10</v>
      </c>
      <c r="F109" s="5">
        <v>4</v>
      </c>
      <c r="G109" s="5" t="s">
        <v>203</v>
      </c>
      <c r="H109" s="6"/>
    </row>
    <row r="110" spans="1:9" s="7" customFormat="1" x14ac:dyDescent="0.4">
      <c r="A110" s="5">
        <v>263250</v>
      </c>
      <c r="B110" s="5" t="s">
        <v>26</v>
      </c>
      <c r="C110" s="5">
        <v>15878</v>
      </c>
      <c r="D110" s="5" t="s">
        <v>9</v>
      </c>
      <c r="E110" s="5" t="s">
        <v>10</v>
      </c>
      <c r="F110" s="5">
        <v>4</v>
      </c>
      <c r="G110" s="5" t="s">
        <v>204</v>
      </c>
      <c r="H110" s="6"/>
    </row>
    <row r="111" spans="1:9" s="7" customFormat="1" x14ac:dyDescent="0.4">
      <c r="A111" s="5">
        <v>290290</v>
      </c>
      <c r="B111" s="5" t="s">
        <v>205</v>
      </c>
      <c r="C111" s="5">
        <v>18837</v>
      </c>
      <c r="D111" s="5" t="s">
        <v>9</v>
      </c>
      <c r="E111" s="5" t="s">
        <v>10</v>
      </c>
      <c r="F111" s="5">
        <v>4</v>
      </c>
      <c r="G111" s="5" t="s">
        <v>204</v>
      </c>
      <c r="H111" s="6"/>
    </row>
    <row r="112" spans="1:9" s="7" customFormat="1" x14ac:dyDescent="0.4">
      <c r="A112" s="5">
        <v>268070</v>
      </c>
      <c r="B112" s="5" t="s">
        <v>206</v>
      </c>
      <c r="C112" s="5">
        <v>16685</v>
      </c>
      <c r="D112" s="5" t="s">
        <v>9</v>
      </c>
      <c r="E112" s="5" t="s">
        <v>10</v>
      </c>
      <c r="F112" s="5">
        <v>4</v>
      </c>
      <c r="G112" s="5" t="s">
        <v>207</v>
      </c>
      <c r="H112" s="6"/>
    </row>
    <row r="113" spans="1:8" s="7" customFormat="1" x14ac:dyDescent="0.4">
      <c r="A113" s="5">
        <v>372030</v>
      </c>
      <c r="B113" s="5" t="s">
        <v>145</v>
      </c>
      <c r="C113" s="5">
        <v>12676</v>
      </c>
      <c r="D113" s="5" t="s">
        <v>9</v>
      </c>
      <c r="E113" s="5" t="s">
        <v>10</v>
      </c>
      <c r="F113" s="5">
        <v>4</v>
      </c>
      <c r="G113" s="5" t="s">
        <v>208</v>
      </c>
      <c r="H113" s="6"/>
    </row>
    <row r="114" spans="1:8" s="7" customFormat="1" x14ac:dyDescent="0.4">
      <c r="A114" s="5">
        <v>342090</v>
      </c>
      <c r="B114" s="5" t="s">
        <v>86</v>
      </c>
      <c r="C114" s="5">
        <v>10707</v>
      </c>
      <c r="D114" s="5" t="s">
        <v>9</v>
      </c>
      <c r="E114" s="5" t="s">
        <v>10</v>
      </c>
      <c r="F114" s="5">
        <v>4</v>
      </c>
      <c r="G114" s="5" t="s">
        <v>209</v>
      </c>
      <c r="H114" s="6"/>
    </row>
    <row r="115" spans="1:8" x14ac:dyDescent="0.4">
      <c r="A115" s="2">
        <v>285020</v>
      </c>
      <c r="B115" s="2" t="s">
        <v>137</v>
      </c>
      <c r="C115" s="2">
        <v>18567</v>
      </c>
      <c r="D115" s="2" t="s">
        <v>9</v>
      </c>
      <c r="E115" s="2" t="s">
        <v>210</v>
      </c>
      <c r="F115" s="2">
        <v>4</v>
      </c>
      <c r="G115" s="2" t="s">
        <v>211</v>
      </c>
    </row>
    <row r="116" spans="1:8" x14ac:dyDescent="0.4">
      <c r="A116" s="2">
        <v>300270</v>
      </c>
      <c r="B116" s="2" t="s">
        <v>48</v>
      </c>
      <c r="C116" s="2">
        <v>19572</v>
      </c>
      <c r="D116" s="2" t="s">
        <v>9</v>
      </c>
      <c r="E116" s="2" t="s">
        <v>10</v>
      </c>
      <c r="F116" s="2">
        <v>5</v>
      </c>
      <c r="G116" s="2" t="s">
        <v>212</v>
      </c>
    </row>
    <row r="117" spans="1:8" x14ac:dyDescent="0.4">
      <c r="A117" s="2">
        <v>285030</v>
      </c>
      <c r="B117" s="2" t="s">
        <v>213</v>
      </c>
      <c r="C117" s="2">
        <v>18598</v>
      </c>
      <c r="D117" s="2" t="s">
        <v>9</v>
      </c>
      <c r="E117" s="2" t="s">
        <v>214</v>
      </c>
      <c r="F117" s="2">
        <v>4</v>
      </c>
      <c r="G117" s="2" t="s">
        <v>215</v>
      </c>
    </row>
    <row r="118" spans="1:8" s="7" customFormat="1" x14ac:dyDescent="0.4">
      <c r="A118" s="5">
        <v>243100</v>
      </c>
      <c r="B118" s="5" t="s">
        <v>216</v>
      </c>
      <c r="C118" s="5">
        <v>14779</v>
      </c>
      <c r="D118" s="5" t="s">
        <v>9</v>
      </c>
      <c r="E118" s="5" t="s">
        <v>10</v>
      </c>
      <c r="F118" s="5">
        <v>4</v>
      </c>
      <c r="G118" s="5" t="s">
        <v>217</v>
      </c>
      <c r="H118" s="6"/>
    </row>
    <row r="119" spans="1:8" s="7" customFormat="1" x14ac:dyDescent="0.4">
      <c r="A119" s="5">
        <v>372070</v>
      </c>
      <c r="B119" s="5" t="s">
        <v>115</v>
      </c>
      <c r="C119" s="5">
        <v>12746</v>
      </c>
      <c r="D119" s="5" t="s">
        <v>9</v>
      </c>
      <c r="E119" s="5" t="s">
        <v>218</v>
      </c>
      <c r="F119" s="5">
        <v>4</v>
      </c>
      <c r="G119" s="5" t="s">
        <v>219</v>
      </c>
      <c r="H119" s="6"/>
    </row>
    <row r="120" spans="1:8" x14ac:dyDescent="0.4">
      <c r="A120" s="2">
        <v>264020</v>
      </c>
      <c r="B120" s="2" t="s">
        <v>101</v>
      </c>
      <c r="C120" s="2">
        <v>16209</v>
      </c>
      <c r="D120" s="2" t="s">
        <v>9</v>
      </c>
      <c r="E120" s="2" t="s">
        <v>10</v>
      </c>
      <c r="F120" s="2">
        <v>5</v>
      </c>
      <c r="G120" s="2" t="s">
        <v>220</v>
      </c>
    </row>
    <row r="121" spans="1:8" x14ac:dyDescent="0.4">
      <c r="A121" s="2">
        <v>344010</v>
      </c>
      <c r="B121" s="2" t="s">
        <v>221</v>
      </c>
      <c r="C121" s="2">
        <v>10872</v>
      </c>
      <c r="D121" s="2" t="s">
        <v>9</v>
      </c>
      <c r="E121" s="2" t="s">
        <v>10</v>
      </c>
      <c r="F121" s="2">
        <v>5</v>
      </c>
      <c r="G121" s="2" t="s">
        <v>222</v>
      </c>
    </row>
    <row r="122" spans="1:8" s="7" customFormat="1" x14ac:dyDescent="0.4">
      <c r="A122" s="5">
        <v>274030</v>
      </c>
      <c r="B122" s="5" t="s">
        <v>223</v>
      </c>
      <c r="C122" s="5">
        <v>16880</v>
      </c>
      <c r="D122" s="5" t="s">
        <v>9</v>
      </c>
      <c r="E122" s="5" t="s">
        <v>223</v>
      </c>
      <c r="F122" s="5">
        <v>4</v>
      </c>
      <c r="G122" s="5" t="s">
        <v>224</v>
      </c>
      <c r="H122" s="6"/>
    </row>
    <row r="123" spans="1:8" s="7" customFormat="1" x14ac:dyDescent="0.4">
      <c r="A123" s="5">
        <v>300260</v>
      </c>
      <c r="B123" s="5" t="s">
        <v>64</v>
      </c>
      <c r="C123" s="5">
        <v>19416</v>
      </c>
      <c r="D123" s="5" t="s">
        <v>9</v>
      </c>
      <c r="E123" s="5" t="s">
        <v>10</v>
      </c>
      <c r="F123" s="5">
        <v>4</v>
      </c>
      <c r="G123" s="5" t="s">
        <v>225</v>
      </c>
      <c r="H123" s="6"/>
    </row>
    <row r="124" spans="1:8" s="7" customFormat="1" x14ac:dyDescent="0.4">
      <c r="A124" s="5">
        <v>300100</v>
      </c>
      <c r="B124" s="5" t="s">
        <v>119</v>
      </c>
      <c r="C124" s="5">
        <v>19086</v>
      </c>
      <c r="D124" s="5" t="s">
        <v>9</v>
      </c>
      <c r="E124" s="5" t="s">
        <v>10</v>
      </c>
      <c r="F124" s="5">
        <v>4</v>
      </c>
      <c r="G124" s="5" t="s">
        <v>226</v>
      </c>
      <c r="H124" s="6"/>
    </row>
    <row r="125" spans="1:8" s="7" customFormat="1" x14ac:dyDescent="0.4">
      <c r="A125" s="5">
        <v>263280</v>
      </c>
      <c r="B125" s="5" t="s">
        <v>13</v>
      </c>
      <c r="C125" s="5">
        <v>15944</v>
      </c>
      <c r="D125" s="5" t="s">
        <v>9</v>
      </c>
      <c r="E125" s="5" t="s">
        <v>10</v>
      </c>
      <c r="F125" s="5">
        <v>4</v>
      </c>
      <c r="G125" s="5" t="s">
        <v>227</v>
      </c>
      <c r="H125" s="6"/>
    </row>
    <row r="126" spans="1:8" s="7" customFormat="1" x14ac:dyDescent="0.4">
      <c r="A126" s="5">
        <v>311370</v>
      </c>
      <c r="B126" s="5" t="s">
        <v>228</v>
      </c>
      <c r="C126" s="5">
        <v>20103</v>
      </c>
      <c r="D126" s="5" t="s">
        <v>229</v>
      </c>
      <c r="E126" s="5" t="s">
        <v>10</v>
      </c>
      <c r="F126" s="5">
        <v>4</v>
      </c>
      <c r="G126" s="5" t="s">
        <v>230</v>
      </c>
      <c r="H126" s="6"/>
    </row>
    <row r="127" spans="1:8" s="7" customFormat="1" x14ac:dyDescent="0.4">
      <c r="A127" s="5">
        <v>263140</v>
      </c>
      <c r="B127" s="5" t="s">
        <v>72</v>
      </c>
      <c r="C127" s="5">
        <v>15718</v>
      </c>
      <c r="D127" s="5" t="s">
        <v>9</v>
      </c>
      <c r="E127" s="5" t="s">
        <v>10</v>
      </c>
      <c r="F127" s="5">
        <v>5</v>
      </c>
      <c r="G127" s="5" t="s">
        <v>231</v>
      </c>
      <c r="H127" s="6"/>
    </row>
    <row r="128" spans="1:8" x14ac:dyDescent="0.4">
      <c r="A128" s="2">
        <v>285030</v>
      </c>
      <c r="B128" s="2" t="s">
        <v>213</v>
      </c>
      <c r="C128" s="2">
        <v>18597</v>
      </c>
      <c r="D128" s="2" t="s">
        <v>9</v>
      </c>
      <c r="E128" s="2" t="s">
        <v>232</v>
      </c>
      <c r="F128" s="2">
        <v>4</v>
      </c>
      <c r="G128" s="2" t="s">
        <v>231</v>
      </c>
    </row>
    <row r="129" spans="1:8" s="7" customFormat="1" x14ac:dyDescent="0.4">
      <c r="A129" s="5">
        <v>341040</v>
      </c>
      <c r="B129" s="5" t="s">
        <v>157</v>
      </c>
      <c r="C129" s="5">
        <v>10436</v>
      </c>
      <c r="D129" s="5" t="s">
        <v>9</v>
      </c>
      <c r="E129" s="5" t="s">
        <v>10</v>
      </c>
      <c r="F129" s="5">
        <v>4</v>
      </c>
      <c r="G129" s="5" t="s">
        <v>233</v>
      </c>
      <c r="H129" s="6"/>
    </row>
    <row r="130" spans="1:8" s="7" customFormat="1" x14ac:dyDescent="0.4">
      <c r="A130" s="5">
        <v>263340</v>
      </c>
      <c r="B130" s="5" t="s">
        <v>234</v>
      </c>
      <c r="C130" s="5">
        <v>16113</v>
      </c>
      <c r="D130" s="5" t="s">
        <v>9</v>
      </c>
      <c r="E130" s="5" t="s">
        <v>10</v>
      </c>
      <c r="F130" s="5">
        <v>4</v>
      </c>
      <c r="G130" s="5" t="s">
        <v>235</v>
      </c>
      <c r="H130" s="6"/>
    </row>
    <row r="131" spans="1:8" s="7" customFormat="1" x14ac:dyDescent="0.4">
      <c r="A131" s="5">
        <v>273030</v>
      </c>
      <c r="B131" s="5" t="s">
        <v>179</v>
      </c>
      <c r="C131" s="5">
        <v>13605</v>
      </c>
      <c r="D131" s="5" t="s">
        <v>9</v>
      </c>
      <c r="E131" s="5" t="s">
        <v>10</v>
      </c>
      <c r="F131" s="5">
        <v>4</v>
      </c>
      <c r="G131" s="5" t="s">
        <v>236</v>
      </c>
      <c r="H131" s="6"/>
    </row>
    <row r="132" spans="1:8" x14ac:dyDescent="0.4">
      <c r="A132" s="2">
        <v>282030</v>
      </c>
      <c r="B132" s="2" t="s">
        <v>181</v>
      </c>
      <c r="C132" s="2">
        <v>16922</v>
      </c>
      <c r="D132" s="2" t="s">
        <v>9</v>
      </c>
      <c r="E132" s="2" t="s">
        <v>237</v>
      </c>
      <c r="F132" s="2">
        <v>4</v>
      </c>
      <c r="G132" s="2" t="s">
        <v>238</v>
      </c>
    </row>
    <row r="133" spans="1:8" s="7" customFormat="1" x14ac:dyDescent="0.4">
      <c r="A133" s="5">
        <v>267040</v>
      </c>
      <c r="B133" s="5" t="s">
        <v>94</v>
      </c>
      <c r="C133" s="5">
        <v>16556</v>
      </c>
      <c r="D133" s="5" t="s">
        <v>9</v>
      </c>
      <c r="E133" s="5" t="s">
        <v>10</v>
      </c>
      <c r="F133" s="5">
        <v>4</v>
      </c>
      <c r="G133" s="5" t="s">
        <v>239</v>
      </c>
      <c r="H133" s="6"/>
    </row>
    <row r="134" spans="1:8" s="7" customFormat="1" x14ac:dyDescent="0.4">
      <c r="A134" s="5">
        <v>360150</v>
      </c>
      <c r="B134" s="5" t="s">
        <v>174</v>
      </c>
      <c r="C134" s="5">
        <v>12450</v>
      </c>
      <c r="D134" s="5" t="s">
        <v>9</v>
      </c>
      <c r="E134" s="5" t="s">
        <v>240</v>
      </c>
      <c r="F134" s="5">
        <v>4</v>
      </c>
      <c r="G134" s="5" t="s">
        <v>239</v>
      </c>
      <c r="H134" s="6"/>
    </row>
    <row r="135" spans="1:8" s="18" customFormat="1" x14ac:dyDescent="0.4">
      <c r="A135" s="17">
        <v>264040</v>
      </c>
      <c r="B135" s="17" t="s">
        <v>241</v>
      </c>
      <c r="C135" s="17">
        <v>16231</v>
      </c>
      <c r="D135" s="17" t="s">
        <v>9</v>
      </c>
      <c r="E135" s="17" t="s">
        <v>10</v>
      </c>
      <c r="F135" s="17">
        <v>7</v>
      </c>
      <c r="G135" s="17" t="s">
        <v>239</v>
      </c>
      <c r="H135" s="17" t="s">
        <v>318</v>
      </c>
    </row>
    <row r="136" spans="1:8" s="7" customFormat="1" x14ac:dyDescent="0.4">
      <c r="A136" s="5">
        <v>600000</v>
      </c>
      <c r="B136" s="5" t="s">
        <v>242</v>
      </c>
      <c r="C136" s="5">
        <v>13307</v>
      </c>
      <c r="D136" s="5" t="s">
        <v>9</v>
      </c>
      <c r="E136" s="5" t="s">
        <v>243</v>
      </c>
      <c r="F136" s="5">
        <v>6</v>
      </c>
      <c r="G136" s="5" t="s">
        <v>244</v>
      </c>
      <c r="H136" s="6"/>
    </row>
    <row r="137" spans="1:8" s="7" customFormat="1" x14ac:dyDescent="0.4">
      <c r="A137" s="5">
        <v>354040</v>
      </c>
      <c r="B137" s="5" t="s">
        <v>245</v>
      </c>
      <c r="C137" s="5">
        <v>11799</v>
      </c>
      <c r="D137" s="5" t="s">
        <v>9</v>
      </c>
      <c r="E137" s="5" t="s">
        <v>10</v>
      </c>
      <c r="F137" s="5">
        <v>4</v>
      </c>
      <c r="G137" s="5" t="s">
        <v>246</v>
      </c>
      <c r="H137" s="6"/>
    </row>
    <row r="138" spans="1:8" x14ac:dyDescent="0.4">
      <c r="A138" s="2">
        <v>321050</v>
      </c>
      <c r="B138" s="2" t="s">
        <v>80</v>
      </c>
      <c r="C138" s="2">
        <v>20544</v>
      </c>
      <c r="D138" s="2" t="s">
        <v>9</v>
      </c>
      <c r="E138" s="2" t="s">
        <v>247</v>
      </c>
      <c r="F138" s="2">
        <v>5</v>
      </c>
      <c r="G138" s="2" t="s">
        <v>248</v>
      </c>
    </row>
    <row r="139" spans="1:8" s="7" customFormat="1" x14ac:dyDescent="0.4">
      <c r="A139" s="5">
        <v>252080</v>
      </c>
      <c r="B139" s="5" t="s">
        <v>249</v>
      </c>
      <c r="C139" s="5">
        <v>15022</v>
      </c>
      <c r="D139" s="5" t="s">
        <v>9</v>
      </c>
      <c r="E139" s="5" t="s">
        <v>10</v>
      </c>
      <c r="F139" s="5">
        <v>4</v>
      </c>
      <c r="G139" s="5" t="s">
        <v>248</v>
      </c>
      <c r="H139" s="6"/>
    </row>
    <row r="140" spans="1:8" s="7" customFormat="1" x14ac:dyDescent="0.4">
      <c r="A140" s="5">
        <v>311340</v>
      </c>
      <c r="B140" s="5" t="s">
        <v>250</v>
      </c>
      <c r="C140" s="5">
        <v>20039</v>
      </c>
      <c r="D140" s="5" t="s">
        <v>9</v>
      </c>
      <c r="E140" s="5" t="s">
        <v>251</v>
      </c>
      <c r="F140" s="5">
        <v>4</v>
      </c>
      <c r="G140" s="5" t="s">
        <v>252</v>
      </c>
      <c r="H140" s="6"/>
    </row>
    <row r="141" spans="1:8" s="7" customFormat="1" x14ac:dyDescent="0.4">
      <c r="A141" s="5">
        <v>341110</v>
      </c>
      <c r="B141" s="5" t="s">
        <v>253</v>
      </c>
      <c r="C141" s="5">
        <v>10593</v>
      </c>
      <c r="D141" s="5" t="s">
        <v>9</v>
      </c>
      <c r="E141" s="5" t="s">
        <v>254</v>
      </c>
      <c r="F141" s="5">
        <v>4</v>
      </c>
      <c r="G141" s="5" t="s">
        <v>255</v>
      </c>
      <c r="H141" s="6"/>
    </row>
    <row r="142" spans="1:8" s="7" customFormat="1" x14ac:dyDescent="0.4">
      <c r="A142" s="5">
        <v>332010</v>
      </c>
      <c r="B142" s="5" t="s">
        <v>256</v>
      </c>
      <c r="C142" s="5">
        <v>10060</v>
      </c>
      <c r="D142" s="5" t="s">
        <v>9</v>
      </c>
      <c r="E142" s="5" t="s">
        <v>257</v>
      </c>
      <c r="F142" s="5">
        <v>4</v>
      </c>
      <c r="G142" s="5" t="s">
        <v>258</v>
      </c>
      <c r="H142" s="6"/>
    </row>
    <row r="143" spans="1:8" s="7" customFormat="1" x14ac:dyDescent="0.4">
      <c r="A143" s="5">
        <v>290390</v>
      </c>
      <c r="B143" s="5" t="s">
        <v>79</v>
      </c>
      <c r="C143" s="5">
        <v>18880</v>
      </c>
      <c r="D143" s="5" t="s">
        <v>9</v>
      </c>
      <c r="E143" s="5" t="s">
        <v>10</v>
      </c>
      <c r="F143" s="5">
        <v>4</v>
      </c>
      <c r="G143" s="5" t="s">
        <v>258</v>
      </c>
      <c r="H143" s="6"/>
    </row>
    <row r="144" spans="1:8" s="7" customFormat="1" x14ac:dyDescent="0.4">
      <c r="A144" s="5">
        <v>211060</v>
      </c>
      <c r="B144" s="5" t="s">
        <v>259</v>
      </c>
      <c r="C144" s="5">
        <v>13723</v>
      </c>
      <c r="D144" s="5" t="s">
        <v>9</v>
      </c>
      <c r="E144" s="5" t="s">
        <v>260</v>
      </c>
      <c r="F144" s="5">
        <v>4</v>
      </c>
      <c r="G144" s="5" t="s">
        <v>261</v>
      </c>
      <c r="H144" s="6"/>
    </row>
    <row r="145" spans="1:8" x14ac:dyDescent="0.4">
      <c r="A145" s="2">
        <v>283110</v>
      </c>
      <c r="B145" s="2" t="s">
        <v>262</v>
      </c>
      <c r="C145" s="2">
        <v>17748</v>
      </c>
      <c r="D145" s="2" t="s">
        <v>9</v>
      </c>
      <c r="E145" s="2" t="s">
        <v>10</v>
      </c>
      <c r="F145" s="2">
        <v>4</v>
      </c>
      <c r="G145" s="2" t="s">
        <v>263</v>
      </c>
    </row>
    <row r="146" spans="1:8" s="7" customFormat="1" x14ac:dyDescent="0.4">
      <c r="A146" s="5">
        <v>373010</v>
      </c>
      <c r="B146" s="5" t="s">
        <v>24</v>
      </c>
      <c r="C146" s="5">
        <v>12809</v>
      </c>
      <c r="D146" s="5" t="s">
        <v>9</v>
      </c>
      <c r="E146" s="5" t="s">
        <v>264</v>
      </c>
      <c r="F146" s="5">
        <v>4</v>
      </c>
      <c r="G146" s="5" t="s">
        <v>263</v>
      </c>
      <c r="H146" s="6"/>
    </row>
    <row r="147" spans="1:8" x14ac:dyDescent="0.4">
      <c r="A147" s="2">
        <v>282080</v>
      </c>
      <c r="B147" s="2" t="s">
        <v>154</v>
      </c>
      <c r="C147" s="2">
        <v>17061</v>
      </c>
      <c r="D147" s="2" t="s">
        <v>9</v>
      </c>
      <c r="E147" s="2" t="s">
        <v>265</v>
      </c>
      <c r="F147" s="2">
        <v>4</v>
      </c>
      <c r="G147" s="2" t="s">
        <v>266</v>
      </c>
    </row>
    <row r="148" spans="1:8" s="7" customFormat="1" x14ac:dyDescent="0.4">
      <c r="A148" s="5">
        <v>290250</v>
      </c>
      <c r="B148" s="5" t="s">
        <v>143</v>
      </c>
      <c r="C148" s="5">
        <v>18822</v>
      </c>
      <c r="D148" s="5" t="s">
        <v>9</v>
      </c>
      <c r="E148" s="5" t="s">
        <v>10</v>
      </c>
      <c r="F148" s="5">
        <v>4</v>
      </c>
      <c r="G148" s="5" t="s">
        <v>267</v>
      </c>
      <c r="H148" s="6"/>
    </row>
    <row r="149" spans="1:8" x14ac:dyDescent="0.4">
      <c r="A149" s="2">
        <v>285030</v>
      </c>
      <c r="B149" s="2" t="s">
        <v>213</v>
      </c>
      <c r="C149" s="2">
        <v>18596</v>
      </c>
      <c r="D149" s="2" t="s">
        <v>9</v>
      </c>
      <c r="E149" s="2" t="s">
        <v>268</v>
      </c>
      <c r="F149" s="2">
        <v>4</v>
      </c>
      <c r="G149" s="2" t="s">
        <v>269</v>
      </c>
    </row>
    <row r="150" spans="1:8" s="7" customFormat="1" x14ac:dyDescent="0.4">
      <c r="A150" s="5">
        <v>352050</v>
      </c>
      <c r="B150" s="5" t="s">
        <v>196</v>
      </c>
      <c r="C150" s="5">
        <v>11553</v>
      </c>
      <c r="D150" s="5" t="s">
        <v>9</v>
      </c>
      <c r="E150" s="5" t="s">
        <v>10</v>
      </c>
      <c r="F150" s="5">
        <v>4</v>
      </c>
      <c r="G150" s="5" t="s">
        <v>270</v>
      </c>
      <c r="H150" s="6"/>
    </row>
    <row r="151" spans="1:8" s="7" customFormat="1" x14ac:dyDescent="0.4">
      <c r="A151" s="5">
        <v>372070</v>
      </c>
      <c r="B151" s="5" t="s">
        <v>115</v>
      </c>
      <c r="C151" s="5">
        <v>12745</v>
      </c>
      <c r="D151" s="5" t="s">
        <v>9</v>
      </c>
      <c r="E151" s="5" t="s">
        <v>271</v>
      </c>
      <c r="F151" s="5">
        <v>4</v>
      </c>
      <c r="G151" s="5" t="s">
        <v>272</v>
      </c>
      <c r="H151" s="6"/>
    </row>
    <row r="152" spans="1:8" x14ac:dyDescent="0.4">
      <c r="A152" s="2">
        <v>284040</v>
      </c>
      <c r="B152" s="2" t="s">
        <v>273</v>
      </c>
      <c r="C152" s="2">
        <v>18265</v>
      </c>
      <c r="D152" s="2" t="s">
        <v>9</v>
      </c>
      <c r="E152" s="2" t="s">
        <v>274</v>
      </c>
      <c r="F152" s="2">
        <v>4</v>
      </c>
      <c r="G152" s="2" t="s">
        <v>275</v>
      </c>
    </row>
    <row r="153" spans="1:8" s="7" customFormat="1" x14ac:dyDescent="0.4">
      <c r="A153" s="5">
        <v>357040</v>
      </c>
      <c r="B153" s="5" t="s">
        <v>276</v>
      </c>
      <c r="C153" s="5">
        <v>11930</v>
      </c>
      <c r="D153" s="5" t="s">
        <v>9</v>
      </c>
      <c r="E153" s="5" t="s">
        <v>277</v>
      </c>
      <c r="F153" s="5">
        <v>4</v>
      </c>
      <c r="G153" s="5" t="s">
        <v>278</v>
      </c>
      <c r="H153" s="6"/>
    </row>
    <row r="154" spans="1:8" s="7" customFormat="1" x14ac:dyDescent="0.4">
      <c r="A154" s="5">
        <v>312030</v>
      </c>
      <c r="B154" s="5" t="s">
        <v>279</v>
      </c>
      <c r="C154" s="5">
        <v>20111</v>
      </c>
      <c r="D154" s="5" t="s">
        <v>9</v>
      </c>
      <c r="E154" s="5" t="s">
        <v>280</v>
      </c>
      <c r="F154" s="5">
        <v>4</v>
      </c>
      <c r="G154" s="5" t="s">
        <v>278</v>
      </c>
      <c r="H154" s="6"/>
    </row>
    <row r="155" spans="1:8" s="7" customFormat="1" x14ac:dyDescent="0.4">
      <c r="A155" s="5">
        <v>268070</v>
      </c>
      <c r="B155" s="5" t="s">
        <v>206</v>
      </c>
      <c r="C155" s="5">
        <v>16682</v>
      </c>
      <c r="D155" s="5" t="s">
        <v>9</v>
      </c>
      <c r="E155" s="5" t="s">
        <v>10</v>
      </c>
      <c r="F155" s="5">
        <v>4</v>
      </c>
      <c r="G155" s="5" t="s">
        <v>281</v>
      </c>
      <c r="H155" s="6"/>
    </row>
    <row r="156" spans="1:8" s="7" customFormat="1" x14ac:dyDescent="0.4">
      <c r="A156" s="5">
        <v>341060</v>
      </c>
      <c r="B156" s="5" t="s">
        <v>121</v>
      </c>
      <c r="C156" s="5">
        <v>10485</v>
      </c>
      <c r="D156" s="5" t="s">
        <v>9</v>
      </c>
      <c r="E156" s="5" t="s">
        <v>282</v>
      </c>
      <c r="F156" s="5">
        <v>4</v>
      </c>
      <c r="G156" s="5" t="s">
        <v>283</v>
      </c>
      <c r="H156" s="6"/>
    </row>
    <row r="157" spans="1:8" x14ac:dyDescent="0.4">
      <c r="A157" s="2">
        <v>372030</v>
      </c>
      <c r="B157" s="2" t="s">
        <v>145</v>
      </c>
      <c r="C157" s="2">
        <v>12674</v>
      </c>
      <c r="D157" s="2" t="s">
        <v>9</v>
      </c>
      <c r="E157" s="2" t="s">
        <v>284</v>
      </c>
      <c r="F157" s="2">
        <v>5</v>
      </c>
      <c r="G157" s="2" t="s">
        <v>285</v>
      </c>
    </row>
    <row r="158" spans="1:8" s="7" customFormat="1" x14ac:dyDescent="0.4">
      <c r="A158" s="5">
        <v>273070</v>
      </c>
      <c r="B158" s="5" t="s">
        <v>96</v>
      </c>
      <c r="C158" s="5">
        <v>16841</v>
      </c>
      <c r="D158" s="5" t="s">
        <v>9</v>
      </c>
      <c r="E158" s="5" t="s">
        <v>286</v>
      </c>
      <c r="F158" s="5">
        <v>4</v>
      </c>
      <c r="G158" s="5" t="s">
        <v>287</v>
      </c>
      <c r="H158" s="6"/>
    </row>
    <row r="159" spans="1:8" s="7" customFormat="1" x14ac:dyDescent="0.4">
      <c r="A159" s="5">
        <v>300050</v>
      </c>
      <c r="B159" s="5" t="s">
        <v>164</v>
      </c>
      <c r="C159" s="5">
        <v>18940</v>
      </c>
      <c r="D159" s="5" t="s">
        <v>9</v>
      </c>
      <c r="E159" s="5" t="s">
        <v>165</v>
      </c>
      <c r="F159" s="5">
        <v>4</v>
      </c>
      <c r="G159" s="5" t="s">
        <v>288</v>
      </c>
      <c r="H159" s="6"/>
    </row>
    <row r="160" spans="1:8" s="7" customFormat="1" x14ac:dyDescent="0.4">
      <c r="A160" s="5">
        <v>273070</v>
      </c>
      <c r="B160" s="5" t="s">
        <v>96</v>
      </c>
      <c r="C160" s="5">
        <v>16840</v>
      </c>
      <c r="D160" s="5" t="s">
        <v>9</v>
      </c>
      <c r="E160" s="5" t="s">
        <v>10</v>
      </c>
      <c r="F160" s="5">
        <v>4</v>
      </c>
      <c r="G160" s="5" t="s">
        <v>289</v>
      </c>
      <c r="H160" s="6"/>
    </row>
    <row r="161" spans="1:8" s="7" customFormat="1" x14ac:dyDescent="0.4">
      <c r="A161" s="5">
        <v>352050</v>
      </c>
      <c r="B161" s="5" t="s">
        <v>196</v>
      </c>
      <c r="C161" s="5">
        <v>11548</v>
      </c>
      <c r="D161" s="5" t="s">
        <v>9</v>
      </c>
      <c r="E161" s="5" t="s">
        <v>10</v>
      </c>
      <c r="F161" s="5">
        <v>4</v>
      </c>
      <c r="G161" s="5" t="s">
        <v>290</v>
      </c>
      <c r="H161" s="6"/>
    </row>
    <row r="162" spans="1:8" x14ac:dyDescent="0.4">
      <c r="A162" s="2">
        <v>285010</v>
      </c>
      <c r="B162" s="2" t="s">
        <v>291</v>
      </c>
      <c r="C162" s="2">
        <v>18555</v>
      </c>
      <c r="D162" s="2" t="s">
        <v>9</v>
      </c>
      <c r="E162" s="2" t="s">
        <v>292</v>
      </c>
      <c r="F162" s="2">
        <v>4</v>
      </c>
      <c r="G162" s="2" t="s">
        <v>293</v>
      </c>
    </row>
    <row r="163" spans="1:8" x14ac:dyDescent="0.4">
      <c r="A163" s="2">
        <v>285040</v>
      </c>
      <c r="B163" s="2" t="s">
        <v>294</v>
      </c>
      <c r="C163" s="2">
        <v>18612</v>
      </c>
      <c r="D163" s="2" t="s">
        <v>9</v>
      </c>
      <c r="E163" s="2" t="s">
        <v>295</v>
      </c>
      <c r="F163" s="2">
        <v>5</v>
      </c>
      <c r="G163" s="2" t="s">
        <v>296</v>
      </c>
      <c r="H163" s="3" t="s">
        <v>318</v>
      </c>
    </row>
    <row r="164" spans="1:8" s="7" customFormat="1" x14ac:dyDescent="0.4">
      <c r="A164" s="5">
        <v>342090</v>
      </c>
      <c r="B164" s="5" t="s">
        <v>86</v>
      </c>
      <c r="C164" s="5">
        <v>10695</v>
      </c>
      <c r="D164" s="5" t="s">
        <v>9</v>
      </c>
      <c r="E164" s="5" t="s">
        <v>10</v>
      </c>
      <c r="F164" s="5">
        <v>4</v>
      </c>
      <c r="G164" s="5" t="s">
        <v>297</v>
      </c>
      <c r="H164" s="6"/>
    </row>
    <row r="165" spans="1:8" s="7" customFormat="1" x14ac:dyDescent="0.4">
      <c r="A165" s="5">
        <v>374010</v>
      </c>
      <c r="B165" s="5" t="s">
        <v>298</v>
      </c>
      <c r="C165" s="5">
        <v>12959</v>
      </c>
      <c r="D165" s="5" t="s">
        <v>9</v>
      </c>
      <c r="E165" s="5" t="s">
        <v>299</v>
      </c>
      <c r="F165" s="5">
        <v>4</v>
      </c>
      <c r="G165" s="5" t="s">
        <v>300</v>
      </c>
      <c r="H165" s="6"/>
    </row>
    <row r="166" spans="1:8" x14ac:dyDescent="0.4">
      <c r="A166" s="2">
        <v>372030</v>
      </c>
      <c r="B166" s="2" t="s">
        <v>145</v>
      </c>
      <c r="C166" s="2">
        <v>12673</v>
      </c>
      <c r="D166" s="2" t="s">
        <v>9</v>
      </c>
      <c r="E166" s="2" t="s">
        <v>10</v>
      </c>
      <c r="F166" s="2">
        <v>5</v>
      </c>
      <c r="G166" s="2" t="s">
        <v>301</v>
      </c>
    </row>
    <row r="167" spans="1:8" s="7" customFormat="1" x14ac:dyDescent="0.4">
      <c r="A167" s="5">
        <v>242030</v>
      </c>
      <c r="B167" s="5" t="s">
        <v>302</v>
      </c>
      <c r="C167" s="5">
        <v>14695</v>
      </c>
      <c r="D167" s="5" t="s">
        <v>9</v>
      </c>
      <c r="E167" s="5" t="s">
        <v>303</v>
      </c>
      <c r="F167" s="5">
        <v>4</v>
      </c>
      <c r="G167" s="5" t="s">
        <v>304</v>
      </c>
      <c r="H167" s="6"/>
    </row>
    <row r="168" spans="1:8" s="7" customFormat="1" x14ac:dyDescent="0.4">
      <c r="A168" s="5">
        <v>351012</v>
      </c>
      <c r="B168" s="5" t="s">
        <v>305</v>
      </c>
      <c r="C168" s="5">
        <v>11265</v>
      </c>
      <c r="D168" s="5" t="s">
        <v>9</v>
      </c>
      <c r="E168" s="5" t="s">
        <v>10</v>
      </c>
      <c r="F168" s="5">
        <v>4</v>
      </c>
      <c r="G168" s="5" t="s">
        <v>304</v>
      </c>
      <c r="H168" s="6"/>
    </row>
    <row r="169" spans="1:8" s="7" customFormat="1" x14ac:dyDescent="0.4">
      <c r="A169" s="5">
        <v>342090</v>
      </c>
      <c r="B169" s="5" t="s">
        <v>86</v>
      </c>
      <c r="C169" s="5">
        <v>10692</v>
      </c>
      <c r="D169" s="5" t="s">
        <v>9</v>
      </c>
      <c r="E169" s="5" t="s">
        <v>10</v>
      </c>
      <c r="F169" s="5">
        <v>4</v>
      </c>
      <c r="G169" s="5" t="s">
        <v>306</v>
      </c>
      <c r="H169" s="6"/>
    </row>
    <row r="170" spans="1:8" s="7" customFormat="1" x14ac:dyDescent="0.4">
      <c r="A170" s="5">
        <v>273070</v>
      </c>
      <c r="B170" s="5" t="s">
        <v>96</v>
      </c>
      <c r="C170" s="5">
        <v>16837</v>
      </c>
      <c r="D170" s="5" t="s">
        <v>9</v>
      </c>
      <c r="E170" s="5" t="s">
        <v>307</v>
      </c>
      <c r="F170" s="5">
        <v>4</v>
      </c>
      <c r="G170" s="5" t="s">
        <v>308</v>
      </c>
      <c r="H170" s="6"/>
    </row>
    <row r="171" spans="1:8" s="7" customFormat="1" x14ac:dyDescent="0.4">
      <c r="A171" s="5">
        <v>290150</v>
      </c>
      <c r="B171" s="5" t="s">
        <v>309</v>
      </c>
      <c r="C171" s="5">
        <v>18778</v>
      </c>
      <c r="D171" s="5" t="s">
        <v>9</v>
      </c>
      <c r="E171" s="5" t="s">
        <v>310</v>
      </c>
      <c r="F171" s="5">
        <v>4</v>
      </c>
      <c r="G171" s="5" t="s">
        <v>311</v>
      </c>
      <c r="H171" s="6"/>
    </row>
    <row r="172" spans="1:8" s="18" customFormat="1" x14ac:dyDescent="0.4">
      <c r="A172" s="17">
        <v>283030</v>
      </c>
      <c r="B172" s="17" t="s">
        <v>312</v>
      </c>
      <c r="C172" s="17">
        <v>17452</v>
      </c>
      <c r="D172" s="17" t="s">
        <v>9</v>
      </c>
      <c r="E172" s="17" t="s">
        <v>313</v>
      </c>
      <c r="F172" s="17">
        <v>5</v>
      </c>
      <c r="G172" s="17" t="s">
        <v>314</v>
      </c>
      <c r="H172" s="17" t="s">
        <v>318</v>
      </c>
    </row>
  </sheetData>
  <phoneticPr fontId="2"/>
  <conditionalFormatting sqref="F1:F1048576">
    <cfRule type="dataBar" priority="2">
      <dataBar>
        <cfvo type="min"/>
        <cfvo type="max"/>
        <color rgb="FFFF555A"/>
      </dataBar>
      <extLst>
        <ext xmlns:x14="http://schemas.microsoft.com/office/spreadsheetml/2009/9/main" uri="{B025F937-C7B1-47D3-B67F-A62EFF666E3E}">
          <x14:id>{4E07B8B5-F18A-46FD-8399-A9DF46B27754}</x14:id>
        </ext>
      </extLst>
    </cfRule>
  </conditionalFormatting>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dataBar" id="{4E07B8B5-F18A-46FD-8399-A9DF46B27754}">
            <x14:dataBar minLength="0" maxLength="100" border="1" negativeBarBorderColorSameAsPositive="0">
              <x14:cfvo type="autoMin"/>
              <x14:cfvo type="autoMax"/>
              <x14:borderColor rgb="FFFF555A"/>
              <x14:negativeFillColor rgb="FFFF0000"/>
              <x14:negativeBorderColor rgb="FFFF0000"/>
              <x14:axisColor rgb="FF000000"/>
            </x14:dataBar>
          </x14:cfRule>
          <xm:sqref>F1:F1048576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8467-B086-4CDB-A892-18977A8F723C}">
  <dimension ref="A1:I43"/>
  <sheetViews>
    <sheetView topLeftCell="A13" workbookViewId="0">
      <selection activeCell="I11" sqref="I11"/>
    </sheetView>
  </sheetViews>
  <sheetFormatPr defaultRowHeight="18.75" x14ac:dyDescent="0.4"/>
  <sheetData>
    <row r="1" spans="1:9" x14ac:dyDescent="0.4">
      <c r="A1" t="s">
        <v>704</v>
      </c>
      <c r="B1" t="s">
        <v>698</v>
      </c>
      <c r="C1" t="s">
        <v>699</v>
      </c>
      <c r="D1" t="s">
        <v>700</v>
      </c>
      <c r="E1" t="s">
        <v>701</v>
      </c>
    </row>
    <row r="2" spans="1:9" x14ac:dyDescent="0.4">
      <c r="A2" t="s">
        <v>705</v>
      </c>
      <c r="B2">
        <v>2700</v>
      </c>
      <c r="C2">
        <v>2600</v>
      </c>
      <c r="D2">
        <v>2400</v>
      </c>
      <c r="E2">
        <v>2200</v>
      </c>
      <c r="F2" t="s">
        <v>702</v>
      </c>
      <c r="G2" t="s">
        <v>707</v>
      </c>
      <c r="H2" t="s">
        <v>706</v>
      </c>
      <c r="I2" t="s">
        <v>550</v>
      </c>
    </row>
    <row r="3" spans="1:9" x14ac:dyDescent="0.4">
      <c r="A3">
        <v>0</v>
      </c>
      <c r="B3">
        <v>0</v>
      </c>
      <c r="C3">
        <v>0</v>
      </c>
      <c r="D3">
        <v>0</v>
      </c>
      <c r="E3">
        <v>0</v>
      </c>
      <c r="G3">
        <v>0</v>
      </c>
      <c r="H3">
        <f t="shared" ref="H3:H32" si="0">G3-1.5</f>
        <v>-1.5</v>
      </c>
      <c r="I3">
        <v>2</v>
      </c>
    </row>
    <row r="4" spans="1:9" x14ac:dyDescent="0.4">
      <c r="A4">
        <v>1</v>
      </c>
      <c r="B4">
        <f t="shared" ref="B4:E23" si="1">LOG10(POWER($A4/2, 1/0.24)*B$2)</f>
        <v>2.1770721155590658</v>
      </c>
      <c r="C4">
        <f t="shared" si="1"/>
        <v>2.1606816993708962</v>
      </c>
      <c r="D4">
        <f t="shared" si="1"/>
        <v>2.1259195931116843</v>
      </c>
      <c r="E4">
        <f t="shared" si="1"/>
        <v>2.0881310322222846</v>
      </c>
      <c r="F4" t="s">
        <v>703</v>
      </c>
      <c r="G4">
        <f>ROUND(AVERAGE(B4:E4),0)</f>
        <v>2</v>
      </c>
      <c r="H4">
        <f t="shared" si="0"/>
        <v>0.5</v>
      </c>
      <c r="I4">
        <v>3</v>
      </c>
    </row>
    <row r="5" spans="1:9" x14ac:dyDescent="0.4">
      <c r="A5">
        <f>A4+1</f>
        <v>2</v>
      </c>
      <c r="B5">
        <f t="shared" si="1"/>
        <v>3.4313637641589874</v>
      </c>
      <c r="C5">
        <f t="shared" si="1"/>
        <v>3.4149733479708178</v>
      </c>
      <c r="D5">
        <f t="shared" si="1"/>
        <v>3.3802112417116059</v>
      </c>
      <c r="E5">
        <f t="shared" si="1"/>
        <v>3.3424226808222062</v>
      </c>
      <c r="G5">
        <f t="shared" ref="G5:G33" si="2">ROUND(AVERAGE(B5:E5),0)</f>
        <v>3</v>
      </c>
      <c r="H5">
        <f t="shared" si="0"/>
        <v>1.5</v>
      </c>
      <c r="I5">
        <v>4</v>
      </c>
    </row>
    <row r="6" spans="1:9" x14ac:dyDescent="0.4">
      <c r="A6">
        <f t="shared" ref="A6:A43" si="3">A5+1</f>
        <v>3</v>
      </c>
      <c r="B6">
        <f t="shared" si="1"/>
        <v>4.1650773435576589</v>
      </c>
      <c r="C6">
        <f t="shared" si="1"/>
        <v>4.1486869273694902</v>
      </c>
      <c r="D6">
        <f t="shared" si="1"/>
        <v>4.1139248211102784</v>
      </c>
      <c r="E6">
        <f t="shared" si="1"/>
        <v>4.0761362602208786</v>
      </c>
      <c r="G6">
        <f t="shared" si="2"/>
        <v>4</v>
      </c>
      <c r="H6">
        <f t="shared" si="0"/>
        <v>2.5</v>
      </c>
      <c r="I6">
        <v>4</v>
      </c>
    </row>
    <row r="7" spans="1:9" x14ac:dyDescent="0.4">
      <c r="A7">
        <f t="shared" si="3"/>
        <v>4</v>
      </c>
      <c r="B7">
        <f t="shared" si="1"/>
        <v>4.6856554127589094</v>
      </c>
      <c r="C7">
        <f t="shared" si="1"/>
        <v>4.6692649965707398</v>
      </c>
      <c r="D7">
        <f t="shared" si="1"/>
        <v>4.634502890311528</v>
      </c>
      <c r="E7">
        <f t="shared" si="1"/>
        <v>4.5967143294221282</v>
      </c>
      <c r="G7">
        <f t="shared" si="2"/>
        <v>5</v>
      </c>
      <c r="H7">
        <f t="shared" si="0"/>
        <v>3.5</v>
      </c>
      <c r="I7">
        <v>4</v>
      </c>
    </row>
    <row r="8" spans="1:9" x14ac:dyDescent="0.4">
      <c r="A8">
        <f t="shared" si="3"/>
        <v>5</v>
      </c>
      <c r="B8">
        <f t="shared" si="1"/>
        <v>5.0894471336258107</v>
      </c>
      <c r="C8">
        <f t="shared" si="1"/>
        <v>5.073056717437642</v>
      </c>
      <c r="D8">
        <f t="shared" si="1"/>
        <v>5.0382946111784292</v>
      </c>
      <c r="E8">
        <f t="shared" si="1"/>
        <v>5.0005060502890295</v>
      </c>
      <c r="G8">
        <f t="shared" si="2"/>
        <v>5</v>
      </c>
      <c r="H8">
        <f t="shared" si="0"/>
        <v>3.5</v>
      </c>
      <c r="I8">
        <v>4</v>
      </c>
    </row>
    <row r="9" spans="1:9" x14ac:dyDescent="0.4">
      <c r="A9">
        <f t="shared" si="3"/>
        <v>6</v>
      </c>
      <c r="B9">
        <f t="shared" si="1"/>
        <v>5.4193689921575814</v>
      </c>
      <c r="C9">
        <f t="shared" si="1"/>
        <v>5.4029785759694118</v>
      </c>
      <c r="D9">
        <f t="shared" si="1"/>
        <v>5.3682164697101999</v>
      </c>
      <c r="E9">
        <f t="shared" si="1"/>
        <v>5.3304279088208002</v>
      </c>
      <c r="G9">
        <f t="shared" si="2"/>
        <v>5</v>
      </c>
      <c r="H9">
        <f t="shared" si="0"/>
        <v>3.5</v>
      </c>
      <c r="I9">
        <v>4</v>
      </c>
    </row>
    <row r="10" spans="1:9" x14ac:dyDescent="0.4">
      <c r="A10">
        <f t="shared" si="3"/>
        <v>7</v>
      </c>
      <c r="B10">
        <f t="shared" si="1"/>
        <v>5.6983139489518031</v>
      </c>
      <c r="C10">
        <f t="shared" si="1"/>
        <v>5.6819235327636335</v>
      </c>
      <c r="D10">
        <f t="shared" si="1"/>
        <v>5.6471614265044217</v>
      </c>
      <c r="E10">
        <f t="shared" si="1"/>
        <v>5.6093728656150219</v>
      </c>
      <c r="G10">
        <f t="shared" si="2"/>
        <v>6</v>
      </c>
      <c r="H10">
        <f t="shared" si="0"/>
        <v>4.5</v>
      </c>
      <c r="I10">
        <v>4</v>
      </c>
    </row>
    <row r="11" spans="1:9" x14ac:dyDescent="0.4">
      <c r="A11">
        <f t="shared" si="3"/>
        <v>8</v>
      </c>
      <c r="B11">
        <f t="shared" si="1"/>
        <v>5.939947061358831</v>
      </c>
      <c r="C11">
        <f t="shared" si="1"/>
        <v>5.9235566451706614</v>
      </c>
      <c r="D11">
        <f t="shared" si="1"/>
        <v>5.8887945389114495</v>
      </c>
      <c r="E11">
        <f t="shared" si="1"/>
        <v>5.8510059780220498</v>
      </c>
      <c r="G11">
        <f t="shared" si="2"/>
        <v>6</v>
      </c>
      <c r="H11">
        <f t="shared" si="0"/>
        <v>4.5</v>
      </c>
      <c r="I11">
        <v>5</v>
      </c>
    </row>
    <row r="12" spans="1:9" x14ac:dyDescent="0.4">
      <c r="A12">
        <f t="shared" si="3"/>
        <v>9</v>
      </c>
      <c r="B12">
        <f t="shared" si="1"/>
        <v>6.1530825715562534</v>
      </c>
      <c r="C12">
        <f t="shared" si="1"/>
        <v>6.1366921553680838</v>
      </c>
      <c r="D12">
        <f t="shared" si="1"/>
        <v>6.1019300491088719</v>
      </c>
      <c r="E12">
        <f t="shared" si="1"/>
        <v>6.0641414882194722</v>
      </c>
      <c r="G12">
        <f t="shared" si="2"/>
        <v>6</v>
      </c>
      <c r="H12">
        <f t="shared" si="0"/>
        <v>4.5</v>
      </c>
      <c r="I12">
        <v>5</v>
      </c>
    </row>
    <row r="13" spans="1:9" x14ac:dyDescent="0.4">
      <c r="A13">
        <f t="shared" si="3"/>
        <v>10</v>
      </c>
      <c r="B13">
        <f t="shared" si="1"/>
        <v>6.3437387822257323</v>
      </c>
      <c r="C13">
        <f t="shared" si="1"/>
        <v>6.3273483660375627</v>
      </c>
      <c r="D13">
        <f t="shared" si="1"/>
        <v>6.2925862597783508</v>
      </c>
      <c r="E13">
        <f t="shared" si="1"/>
        <v>6.2547976988889511</v>
      </c>
      <c r="G13">
        <f t="shared" si="2"/>
        <v>6</v>
      </c>
      <c r="H13">
        <f t="shared" si="0"/>
        <v>4.5</v>
      </c>
      <c r="I13">
        <v>5</v>
      </c>
    </row>
    <row r="14" spans="1:9" x14ac:dyDescent="0.4">
      <c r="A14">
        <f t="shared" si="3"/>
        <v>11</v>
      </c>
      <c r="B14">
        <f t="shared" si="1"/>
        <v>6.5162083037183365</v>
      </c>
      <c r="C14">
        <f t="shared" si="1"/>
        <v>6.4998178875301678</v>
      </c>
      <c r="D14">
        <f t="shared" si="1"/>
        <v>6.4650557812709559</v>
      </c>
      <c r="E14">
        <f t="shared" si="1"/>
        <v>6.4272672203815562</v>
      </c>
      <c r="G14">
        <f t="shared" si="2"/>
        <v>6</v>
      </c>
      <c r="H14">
        <f t="shared" si="0"/>
        <v>4.5</v>
      </c>
      <c r="I14">
        <v>5</v>
      </c>
    </row>
    <row r="15" spans="1:9" x14ac:dyDescent="0.4">
      <c r="A15">
        <f t="shared" si="3"/>
        <v>12</v>
      </c>
      <c r="B15">
        <f t="shared" si="1"/>
        <v>6.673660640757503</v>
      </c>
      <c r="C15">
        <f t="shared" si="1"/>
        <v>6.6572702245693334</v>
      </c>
      <c r="D15">
        <f t="shared" si="1"/>
        <v>6.6225081183101215</v>
      </c>
      <c r="E15">
        <f t="shared" si="1"/>
        <v>6.5847195574207218</v>
      </c>
      <c r="G15">
        <f t="shared" si="2"/>
        <v>7</v>
      </c>
      <c r="H15">
        <f t="shared" si="0"/>
        <v>5.5</v>
      </c>
      <c r="I15">
        <v>5</v>
      </c>
    </row>
    <row r="16" spans="1:9" x14ac:dyDescent="0.4">
      <c r="A16">
        <f t="shared" si="3"/>
        <v>13</v>
      </c>
      <c r="B16">
        <f t="shared" si="1"/>
        <v>6.8185027501708859</v>
      </c>
      <c r="C16">
        <f t="shared" si="1"/>
        <v>6.8021123339827163</v>
      </c>
      <c r="D16">
        <f t="shared" si="1"/>
        <v>6.7673502277235045</v>
      </c>
      <c r="E16">
        <f t="shared" si="1"/>
        <v>6.7295616668341047</v>
      </c>
      <c r="G16">
        <f t="shared" si="2"/>
        <v>7</v>
      </c>
      <c r="H16">
        <f t="shared" si="0"/>
        <v>5.5</v>
      </c>
      <c r="I16">
        <v>5</v>
      </c>
    </row>
    <row r="17" spans="1:9" x14ac:dyDescent="0.4">
      <c r="A17">
        <f t="shared" si="3"/>
        <v>14</v>
      </c>
      <c r="B17">
        <f t="shared" si="1"/>
        <v>6.9526055975517238</v>
      </c>
      <c r="C17">
        <f t="shared" si="1"/>
        <v>6.9362151813635551</v>
      </c>
      <c r="D17">
        <f t="shared" si="1"/>
        <v>6.9014530751043432</v>
      </c>
      <c r="E17">
        <f t="shared" si="1"/>
        <v>6.8636645142149435</v>
      </c>
      <c r="G17">
        <f t="shared" si="2"/>
        <v>7</v>
      </c>
      <c r="H17">
        <f t="shared" si="0"/>
        <v>5.5</v>
      </c>
      <c r="I17">
        <v>5</v>
      </c>
    </row>
    <row r="18" spans="1:9" x14ac:dyDescent="0.4">
      <c r="A18">
        <f t="shared" si="3"/>
        <v>15</v>
      </c>
      <c r="B18">
        <f t="shared" si="1"/>
        <v>7.0774523616244043</v>
      </c>
      <c r="C18">
        <f t="shared" si="1"/>
        <v>7.0610619454362347</v>
      </c>
      <c r="D18">
        <f t="shared" si="1"/>
        <v>7.0262998391770228</v>
      </c>
      <c r="E18">
        <f t="shared" si="1"/>
        <v>6.9885112782876231</v>
      </c>
      <c r="G18">
        <f t="shared" si="2"/>
        <v>7</v>
      </c>
      <c r="H18">
        <f t="shared" si="0"/>
        <v>5.5</v>
      </c>
      <c r="I18">
        <v>6</v>
      </c>
    </row>
    <row r="19" spans="1:9" x14ac:dyDescent="0.4">
      <c r="A19">
        <f t="shared" si="3"/>
        <v>16</v>
      </c>
      <c r="B19">
        <f t="shared" si="1"/>
        <v>7.1942387099587526</v>
      </c>
      <c r="C19">
        <f t="shared" si="1"/>
        <v>7.177848293770583</v>
      </c>
      <c r="D19">
        <f t="shared" si="1"/>
        <v>7.1430861875113711</v>
      </c>
      <c r="E19">
        <f t="shared" si="1"/>
        <v>7.1052976266219714</v>
      </c>
      <c r="G19">
        <f t="shared" si="2"/>
        <v>7</v>
      </c>
      <c r="H19">
        <f t="shared" si="0"/>
        <v>5.5</v>
      </c>
      <c r="I19">
        <v>6</v>
      </c>
    </row>
    <row r="20" spans="1:9" x14ac:dyDescent="0.4">
      <c r="A20">
        <f t="shared" si="3"/>
        <v>17</v>
      </c>
      <c r="B20">
        <f t="shared" si="1"/>
        <v>7.3039426213018741</v>
      </c>
      <c r="C20">
        <f t="shared" si="1"/>
        <v>7.2875522051137045</v>
      </c>
      <c r="D20">
        <f t="shared" si="1"/>
        <v>7.2527900988544927</v>
      </c>
      <c r="E20">
        <f t="shared" si="1"/>
        <v>7.2150015379650929</v>
      </c>
      <c r="G20">
        <f t="shared" si="2"/>
        <v>7</v>
      </c>
      <c r="H20">
        <f t="shared" si="0"/>
        <v>5.5</v>
      </c>
      <c r="I20">
        <v>6</v>
      </c>
    </row>
    <row r="21" spans="1:9" x14ac:dyDescent="0.4">
      <c r="A21">
        <f t="shared" si="3"/>
        <v>18</v>
      </c>
      <c r="B21">
        <f t="shared" si="1"/>
        <v>7.407374220156175</v>
      </c>
      <c r="C21">
        <f t="shared" si="1"/>
        <v>7.3909838039680054</v>
      </c>
      <c r="D21">
        <f t="shared" si="1"/>
        <v>7.3562216977087935</v>
      </c>
      <c r="E21">
        <f t="shared" si="1"/>
        <v>7.3184331368193938</v>
      </c>
      <c r="G21">
        <f t="shared" si="2"/>
        <v>7</v>
      </c>
      <c r="H21">
        <f t="shared" si="0"/>
        <v>5.5</v>
      </c>
      <c r="I21">
        <v>6</v>
      </c>
    </row>
    <row r="22" spans="1:9" x14ac:dyDescent="0.4">
      <c r="A22">
        <f t="shared" si="3"/>
        <v>19</v>
      </c>
      <c r="B22">
        <f t="shared" si="1"/>
        <v>7.5052121195291868</v>
      </c>
      <c r="C22">
        <f t="shared" si="1"/>
        <v>7.4888217033410172</v>
      </c>
      <c r="D22">
        <f t="shared" si="1"/>
        <v>7.4540595970818053</v>
      </c>
      <c r="E22">
        <f t="shared" si="1"/>
        <v>7.4162710361924056</v>
      </c>
      <c r="G22">
        <f t="shared" si="2"/>
        <v>7</v>
      </c>
      <c r="H22">
        <f t="shared" si="0"/>
        <v>5.5</v>
      </c>
      <c r="I22">
        <v>6</v>
      </c>
    </row>
    <row r="23" spans="1:9" x14ac:dyDescent="0.4">
      <c r="A23">
        <f t="shared" si="3"/>
        <v>20</v>
      </c>
      <c r="B23">
        <f t="shared" si="1"/>
        <v>7.5980304308256548</v>
      </c>
      <c r="C23">
        <f t="shared" si="1"/>
        <v>7.5816400146374852</v>
      </c>
      <c r="D23">
        <f t="shared" si="1"/>
        <v>7.5468779083782733</v>
      </c>
      <c r="E23">
        <f t="shared" si="1"/>
        <v>7.5090893474888736</v>
      </c>
      <c r="G23">
        <f t="shared" si="2"/>
        <v>8</v>
      </c>
      <c r="H23">
        <f t="shared" si="0"/>
        <v>6.5</v>
      </c>
      <c r="I23">
        <v>6</v>
      </c>
    </row>
    <row r="24" spans="1:9" x14ac:dyDescent="0.4">
      <c r="A24">
        <f t="shared" si="3"/>
        <v>21</v>
      </c>
      <c r="B24">
        <f t="shared" ref="B24:E43" si="4">LOG10(POWER($A24/2, 1/0.24)*B$2)</f>
        <v>7.6863191769503958</v>
      </c>
      <c r="C24">
        <f t="shared" si="4"/>
        <v>7.6699287607622271</v>
      </c>
      <c r="D24">
        <f t="shared" si="4"/>
        <v>7.6351666545030152</v>
      </c>
      <c r="E24">
        <f t="shared" si="4"/>
        <v>7.5973780936136155</v>
      </c>
      <c r="G24">
        <f t="shared" si="2"/>
        <v>8</v>
      </c>
      <c r="H24">
        <f t="shared" si="0"/>
        <v>6.5</v>
      </c>
      <c r="I24">
        <v>6</v>
      </c>
    </row>
    <row r="25" spans="1:9" x14ac:dyDescent="0.4">
      <c r="A25">
        <f t="shared" si="3"/>
        <v>22</v>
      </c>
      <c r="B25">
        <f t="shared" si="4"/>
        <v>7.770499952318259</v>
      </c>
      <c r="C25">
        <f t="shared" si="4"/>
        <v>7.7541095361300894</v>
      </c>
      <c r="D25">
        <f t="shared" si="4"/>
        <v>7.7193474298708775</v>
      </c>
      <c r="E25">
        <f t="shared" si="4"/>
        <v>7.6815588689814778</v>
      </c>
      <c r="G25">
        <f t="shared" si="2"/>
        <v>8</v>
      </c>
      <c r="H25">
        <f t="shared" si="0"/>
        <v>6.5</v>
      </c>
      <c r="I25">
        <v>6</v>
      </c>
    </row>
    <row r="26" spans="1:9" x14ac:dyDescent="0.4">
      <c r="A26">
        <f t="shared" si="3"/>
        <v>23</v>
      </c>
      <c r="B26">
        <f t="shared" si="4"/>
        <v>7.8509380989657025</v>
      </c>
      <c r="C26">
        <f t="shared" si="4"/>
        <v>7.8345476827775338</v>
      </c>
      <c r="D26">
        <f t="shared" si="4"/>
        <v>7.7997855765183219</v>
      </c>
      <c r="E26">
        <f t="shared" si="4"/>
        <v>7.7619970156289222</v>
      </c>
      <c r="G26">
        <f t="shared" si="2"/>
        <v>8</v>
      </c>
      <c r="H26">
        <f t="shared" si="0"/>
        <v>6.5</v>
      </c>
      <c r="I26">
        <v>6</v>
      </c>
    </row>
    <row r="27" spans="1:9" x14ac:dyDescent="0.4">
      <c r="A27">
        <f t="shared" si="3"/>
        <v>24</v>
      </c>
      <c r="B27">
        <f t="shared" si="4"/>
        <v>7.9279522893574246</v>
      </c>
      <c r="C27">
        <f t="shared" si="4"/>
        <v>7.911561873169255</v>
      </c>
      <c r="D27">
        <f t="shared" si="4"/>
        <v>7.8767997669100431</v>
      </c>
      <c r="E27">
        <f t="shared" si="4"/>
        <v>7.8390112060206434</v>
      </c>
      <c r="G27">
        <f t="shared" si="2"/>
        <v>8</v>
      </c>
      <c r="H27">
        <f t="shared" si="0"/>
        <v>6.5</v>
      </c>
      <c r="I27">
        <v>6</v>
      </c>
    </row>
    <row r="28" spans="1:9" x14ac:dyDescent="0.4">
      <c r="A28">
        <f t="shared" si="3"/>
        <v>25</v>
      </c>
      <c r="B28">
        <f t="shared" si="4"/>
        <v>8.0018221516925561</v>
      </c>
      <c r="C28">
        <f t="shared" si="4"/>
        <v>7.9854317355043865</v>
      </c>
      <c r="D28">
        <f t="shared" si="4"/>
        <v>7.9506696292451746</v>
      </c>
      <c r="E28">
        <f t="shared" si="4"/>
        <v>7.9128810683557749</v>
      </c>
      <c r="G28">
        <f t="shared" si="2"/>
        <v>8</v>
      </c>
      <c r="H28">
        <f t="shared" si="0"/>
        <v>6.5</v>
      </c>
      <c r="I28">
        <v>6</v>
      </c>
    </row>
    <row r="29" spans="1:9" x14ac:dyDescent="0.4">
      <c r="A29">
        <f t="shared" si="3"/>
        <v>26</v>
      </c>
      <c r="B29">
        <f t="shared" si="4"/>
        <v>8.0727943987708066</v>
      </c>
      <c r="C29">
        <f t="shared" si="4"/>
        <v>8.0564039825826388</v>
      </c>
      <c r="D29">
        <f t="shared" si="4"/>
        <v>8.021641876323427</v>
      </c>
      <c r="E29">
        <f t="shared" si="4"/>
        <v>7.9838533154340263</v>
      </c>
      <c r="G29">
        <f t="shared" si="2"/>
        <v>8</v>
      </c>
      <c r="H29">
        <f t="shared" si="0"/>
        <v>6.5</v>
      </c>
      <c r="I29">
        <v>6</v>
      </c>
    </row>
    <row r="30" spans="1:9" x14ac:dyDescent="0.4">
      <c r="A30">
        <f t="shared" si="3"/>
        <v>27</v>
      </c>
      <c r="B30">
        <f t="shared" si="4"/>
        <v>8.1410877995548461</v>
      </c>
      <c r="C30">
        <f t="shared" si="4"/>
        <v>8.1246973833666765</v>
      </c>
      <c r="D30">
        <f t="shared" si="4"/>
        <v>8.0899352771074646</v>
      </c>
      <c r="E30">
        <f t="shared" si="4"/>
        <v>8.0521467162180649</v>
      </c>
      <c r="G30">
        <f t="shared" si="2"/>
        <v>8</v>
      </c>
      <c r="H30">
        <f t="shared" si="0"/>
        <v>6.5</v>
      </c>
      <c r="I30">
        <v>6</v>
      </c>
    </row>
    <row r="31" spans="1:9" x14ac:dyDescent="0.4">
      <c r="A31">
        <f t="shared" si="3"/>
        <v>28</v>
      </c>
      <c r="B31">
        <f t="shared" si="4"/>
        <v>8.2068972461516445</v>
      </c>
      <c r="C31">
        <f t="shared" si="4"/>
        <v>8.1905068299634767</v>
      </c>
      <c r="D31">
        <f t="shared" si="4"/>
        <v>8.1557447237042648</v>
      </c>
      <c r="E31">
        <f t="shared" si="4"/>
        <v>8.1179561628148651</v>
      </c>
      <c r="G31">
        <f t="shared" si="2"/>
        <v>8</v>
      </c>
      <c r="H31">
        <f t="shared" si="0"/>
        <v>6.5</v>
      </c>
      <c r="I31">
        <v>6</v>
      </c>
    </row>
    <row r="32" spans="1:9" x14ac:dyDescent="0.4">
      <c r="A32">
        <f t="shared" si="3"/>
        <v>29</v>
      </c>
      <c r="B32">
        <f t="shared" si="4"/>
        <v>8.2703971068047171</v>
      </c>
      <c r="C32">
        <f t="shared" si="4"/>
        <v>8.2540066906165475</v>
      </c>
      <c r="D32">
        <f t="shared" si="4"/>
        <v>8.2192445843573356</v>
      </c>
      <c r="E32">
        <f t="shared" si="4"/>
        <v>8.1814560234679359</v>
      </c>
      <c r="G32">
        <f t="shared" si="2"/>
        <v>8</v>
      </c>
      <c r="H32">
        <f t="shared" si="0"/>
        <v>6.5</v>
      </c>
      <c r="I32">
        <v>6</v>
      </c>
    </row>
    <row r="33" spans="1:9" x14ac:dyDescent="0.4">
      <c r="A33">
        <f t="shared" si="3"/>
        <v>30</v>
      </c>
      <c r="B33">
        <f t="shared" si="4"/>
        <v>8.3317440102243268</v>
      </c>
      <c r="C33">
        <f t="shared" si="4"/>
        <v>8.3153535940361571</v>
      </c>
      <c r="D33">
        <f t="shared" si="4"/>
        <v>8.2805914877769453</v>
      </c>
      <c r="E33">
        <f t="shared" si="4"/>
        <v>8.2428029268875456</v>
      </c>
      <c r="G33">
        <f t="shared" si="2"/>
        <v>8</v>
      </c>
      <c r="H33">
        <f>G33-1.5</f>
        <v>6.5</v>
      </c>
      <c r="I33">
        <v>7</v>
      </c>
    </row>
    <row r="34" spans="1:9" x14ac:dyDescent="0.4">
      <c r="A34">
        <f t="shared" si="3"/>
        <v>31</v>
      </c>
      <c r="B34">
        <f t="shared" si="4"/>
        <v>8.3910791732018684</v>
      </c>
      <c r="C34">
        <f t="shared" si="4"/>
        <v>8.3746887570136987</v>
      </c>
      <c r="D34">
        <f t="shared" si="4"/>
        <v>8.3399266507544869</v>
      </c>
      <c r="E34">
        <f t="shared" si="4"/>
        <v>8.3021380898650872</v>
      </c>
      <c r="G34">
        <f t="shared" ref="G34" si="5">ROUND(AVERAGE(B34:E34),0)</f>
        <v>8</v>
      </c>
      <c r="H34">
        <f>G34-1.5</f>
        <v>6.5</v>
      </c>
      <c r="I34">
        <v>7</v>
      </c>
    </row>
    <row r="35" spans="1:9" x14ac:dyDescent="0.4">
      <c r="A35">
        <f t="shared" si="3"/>
        <v>32</v>
      </c>
      <c r="B35">
        <f t="shared" si="4"/>
        <v>8.4485303585586742</v>
      </c>
      <c r="C35">
        <f t="shared" si="4"/>
        <v>8.4321399423705046</v>
      </c>
      <c r="D35">
        <f t="shared" si="4"/>
        <v>8.3973778361112927</v>
      </c>
      <c r="E35">
        <f t="shared" si="4"/>
        <v>8.359589275221893</v>
      </c>
      <c r="G35">
        <f t="shared" ref="G35:G43" si="6">ROUND(AVERAGE(B35:E35),0)</f>
        <v>8</v>
      </c>
      <c r="H35">
        <f t="shared" ref="H35:H43" si="7">G35-1.5</f>
        <v>6.5</v>
      </c>
      <c r="I35">
        <v>7</v>
      </c>
    </row>
    <row r="36" spans="1:9" x14ac:dyDescent="0.4">
      <c r="A36">
        <f t="shared" si="3"/>
        <v>33</v>
      </c>
      <c r="B36">
        <f t="shared" si="4"/>
        <v>8.5042135317169301</v>
      </c>
      <c r="C36">
        <f t="shared" si="4"/>
        <v>8.4878231155287605</v>
      </c>
      <c r="D36">
        <f t="shared" si="4"/>
        <v>8.4530610092695486</v>
      </c>
      <c r="E36">
        <f t="shared" si="4"/>
        <v>8.4152724483801489</v>
      </c>
      <c r="G36">
        <f t="shared" si="6"/>
        <v>8</v>
      </c>
      <c r="H36">
        <f t="shared" si="7"/>
        <v>6.5</v>
      </c>
      <c r="I36">
        <v>7</v>
      </c>
    </row>
    <row r="37" spans="1:9" x14ac:dyDescent="0.4">
      <c r="A37">
        <f t="shared" si="3"/>
        <v>34</v>
      </c>
      <c r="B37">
        <f t="shared" si="4"/>
        <v>8.5582342699017957</v>
      </c>
      <c r="C37">
        <f t="shared" si="4"/>
        <v>8.5418438537136261</v>
      </c>
      <c r="D37">
        <f t="shared" si="4"/>
        <v>8.5070817474544143</v>
      </c>
      <c r="E37">
        <f t="shared" si="4"/>
        <v>8.4692931865650145</v>
      </c>
      <c r="G37">
        <f t="shared" si="6"/>
        <v>9</v>
      </c>
      <c r="H37">
        <f t="shared" si="7"/>
        <v>7.5</v>
      </c>
      <c r="I37">
        <v>7</v>
      </c>
    </row>
    <row r="38" spans="1:9" x14ac:dyDescent="0.4">
      <c r="A38">
        <f t="shared" si="3"/>
        <v>35</v>
      </c>
      <c r="B38">
        <f t="shared" si="4"/>
        <v>8.6106889670185485</v>
      </c>
      <c r="C38">
        <f t="shared" si="4"/>
        <v>8.5942985508303789</v>
      </c>
      <c r="D38">
        <f t="shared" si="4"/>
        <v>8.559536444571167</v>
      </c>
      <c r="E38">
        <f t="shared" si="4"/>
        <v>8.5217478836817673</v>
      </c>
      <c r="G38">
        <f t="shared" si="6"/>
        <v>9</v>
      </c>
      <c r="H38">
        <f t="shared" si="7"/>
        <v>7.5</v>
      </c>
      <c r="I38">
        <v>7</v>
      </c>
    </row>
    <row r="39" spans="1:9" x14ac:dyDescent="0.4">
      <c r="A39">
        <f t="shared" si="3"/>
        <v>36</v>
      </c>
      <c r="B39">
        <f t="shared" si="4"/>
        <v>8.6616658687560957</v>
      </c>
      <c r="C39">
        <f t="shared" si="4"/>
        <v>8.6452754525679261</v>
      </c>
      <c r="D39">
        <f t="shared" si="4"/>
        <v>8.6105133463087142</v>
      </c>
      <c r="E39">
        <f t="shared" si="4"/>
        <v>8.5727247854193145</v>
      </c>
      <c r="G39">
        <f t="shared" si="6"/>
        <v>9</v>
      </c>
      <c r="H39">
        <f t="shared" si="7"/>
        <v>7.5</v>
      </c>
      <c r="I39">
        <v>7</v>
      </c>
    </row>
    <row r="40" spans="1:9" x14ac:dyDescent="0.4">
      <c r="A40">
        <f t="shared" si="3"/>
        <v>37</v>
      </c>
      <c r="B40">
        <f t="shared" si="4"/>
        <v>8.7112459658382111</v>
      </c>
      <c r="C40">
        <f t="shared" si="4"/>
        <v>8.6948555496500415</v>
      </c>
      <c r="D40">
        <f t="shared" si="4"/>
        <v>8.6600934433908296</v>
      </c>
      <c r="E40">
        <f t="shared" si="4"/>
        <v>8.6223048825014299</v>
      </c>
      <c r="G40">
        <f t="shared" si="6"/>
        <v>9</v>
      </c>
      <c r="H40">
        <f t="shared" si="7"/>
        <v>7.5</v>
      </c>
      <c r="I40">
        <v>7</v>
      </c>
    </row>
    <row r="41" spans="1:9" x14ac:dyDescent="0.4">
      <c r="A41">
        <f t="shared" si="3"/>
        <v>38</v>
      </c>
      <c r="B41">
        <f t="shared" si="4"/>
        <v>8.7595037681291075</v>
      </c>
      <c r="C41">
        <f t="shared" si="4"/>
        <v>8.7431133519409379</v>
      </c>
      <c r="D41">
        <f t="shared" si="4"/>
        <v>8.708351245681726</v>
      </c>
      <c r="E41">
        <f t="shared" si="4"/>
        <v>8.6705626847923263</v>
      </c>
      <c r="G41">
        <f t="shared" si="6"/>
        <v>9</v>
      </c>
      <c r="H41">
        <f t="shared" si="7"/>
        <v>7.5</v>
      </c>
      <c r="I41">
        <v>7</v>
      </c>
    </row>
    <row r="42" spans="1:9" x14ac:dyDescent="0.4">
      <c r="A42">
        <f t="shared" si="3"/>
        <v>39</v>
      </c>
      <c r="B42">
        <f t="shared" si="4"/>
        <v>8.8065079781694795</v>
      </c>
      <c r="C42">
        <f t="shared" si="4"/>
        <v>8.7901175619813099</v>
      </c>
      <c r="D42">
        <f t="shared" si="4"/>
        <v>8.7553554557220981</v>
      </c>
      <c r="E42">
        <f t="shared" si="4"/>
        <v>8.7175668948326983</v>
      </c>
      <c r="G42">
        <f t="shared" si="6"/>
        <v>9</v>
      </c>
      <c r="H42">
        <f t="shared" si="7"/>
        <v>7.5</v>
      </c>
      <c r="I42">
        <v>7</v>
      </c>
    </row>
    <row r="43" spans="1:9" x14ac:dyDescent="0.4">
      <c r="A43">
        <f t="shared" si="3"/>
        <v>40</v>
      </c>
      <c r="B43">
        <f t="shared" si="4"/>
        <v>8.8523220794255764</v>
      </c>
      <c r="C43">
        <f t="shared" si="4"/>
        <v>8.8359316632374068</v>
      </c>
      <c r="D43">
        <f t="shared" si="4"/>
        <v>8.8011695569781949</v>
      </c>
      <c r="E43">
        <f t="shared" si="4"/>
        <v>8.7633809960887952</v>
      </c>
      <c r="G43">
        <f t="shared" si="6"/>
        <v>9</v>
      </c>
      <c r="H43">
        <f t="shared" si="7"/>
        <v>7.5</v>
      </c>
      <c r="I43">
        <v>7</v>
      </c>
    </row>
  </sheetData>
  <phoneticPr fontId="2"/>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AD1C541E864994DB5052FC1C07DCAEC" ma:contentTypeVersion="12" ma:contentTypeDescription="新しいドキュメントを作成します。" ma:contentTypeScope="" ma:versionID="fb884394efda3c5f4b6506e5a951003a">
  <xsd:schema xmlns:xsd="http://www.w3.org/2001/XMLSchema" xmlns:xs="http://www.w3.org/2001/XMLSchema" xmlns:p="http://schemas.microsoft.com/office/2006/metadata/properties" xmlns:ns2="f7cb7b4f-7d9a-45e4-849a-1cca82ebe7c4" xmlns:ns3="315c7083-b8ac-4c28-9666-4b63049ee992" targetNamespace="http://schemas.microsoft.com/office/2006/metadata/properties" ma:root="true" ma:fieldsID="348cf79958d3a28ba45e4b755eb24416" ns2:_="" ns3:_="">
    <xsd:import namespace="f7cb7b4f-7d9a-45e4-849a-1cca82ebe7c4"/>
    <xsd:import namespace="315c7083-b8ac-4c28-9666-4b63049ee99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cb7b4f-7d9a-45e4-849a-1cca82ebe7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5c7083-b8ac-4c28-9666-4b63049ee992"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F2D690C-BC09-4525-B2EE-AF80D8070E94}"/>
</file>

<file path=customXml/itemProps2.xml><?xml version="1.0" encoding="utf-8"?>
<ds:datastoreItem xmlns:ds="http://schemas.openxmlformats.org/officeDocument/2006/customXml" ds:itemID="{842A2152-09E7-412D-B641-6EDAE6A3445C}"/>
</file>

<file path=customXml/itemProps3.xml><?xml version="1.0" encoding="utf-8"?>
<ds:datastoreItem xmlns:ds="http://schemas.openxmlformats.org/officeDocument/2006/customXml" ds:itemID="{DE15BDDB-B4D2-4D96-AB13-3A2D8C800C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Eruptions</vt:lpstr>
      <vt:lpstr>Continuous</vt:lpstr>
      <vt:lpstr>Descrete</vt:lpstr>
      <vt:lpstr>Candidates</vt:lpstr>
      <vt:lpstr>VUC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CalderaVolcano4</dc:creator>
  <cp:lastModifiedBy>下司信夫</cp:lastModifiedBy>
  <dcterms:created xsi:type="dcterms:W3CDTF">2020-02-04T01:58:34Z</dcterms:created>
  <dcterms:modified xsi:type="dcterms:W3CDTF">2021-04-06T11:00:20Z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c55989-3c9e-4466-8514-eac6f80f6373_Enabled">
    <vt:lpwstr>True</vt:lpwstr>
  </property>
  <property fmtid="{D5CDD505-2E9C-101B-9397-08002B2CF9AE}" pid="3" name="MSIP_Label_ddc55989-3c9e-4466-8514-eac6f80f6373_SiteId">
    <vt:lpwstr>18a7fec8-652f-409b-8369-272d9ce80620</vt:lpwstr>
  </property>
  <property fmtid="{D5CDD505-2E9C-101B-9397-08002B2CF9AE}" pid="4" name="MSIP_Label_ddc55989-3c9e-4466-8514-eac6f80f6373_Owner">
    <vt:lpwstr>f.ikegami@aist.go.jp</vt:lpwstr>
  </property>
  <property fmtid="{D5CDD505-2E9C-101B-9397-08002B2CF9AE}" pid="5" name="MSIP_Label_ddc55989-3c9e-4466-8514-eac6f80f6373_SetDate">
    <vt:lpwstr>2020-09-15T03:02:37.2179592Z</vt:lpwstr>
  </property>
  <property fmtid="{D5CDD505-2E9C-101B-9397-08002B2CF9AE}" pid="6" name="MSIP_Label_ddc55989-3c9e-4466-8514-eac6f80f6373_Name">
    <vt:lpwstr>No Restrictions</vt:lpwstr>
  </property>
  <property fmtid="{D5CDD505-2E9C-101B-9397-08002B2CF9AE}" pid="7" name="MSIP_Label_ddc55989-3c9e-4466-8514-eac6f80f6373_Application">
    <vt:lpwstr>Microsoft Azure Information Protection</vt:lpwstr>
  </property>
  <property fmtid="{D5CDD505-2E9C-101B-9397-08002B2CF9AE}" pid="8" name="MSIP_Label_ddc55989-3c9e-4466-8514-eac6f80f6373_ActionId">
    <vt:lpwstr>28cb1e72-0c0d-4180-9d44-4d327f17a41c</vt:lpwstr>
  </property>
  <property fmtid="{D5CDD505-2E9C-101B-9397-08002B2CF9AE}" pid="9" name="MSIP_Label_ddc55989-3c9e-4466-8514-eac6f80f6373_Extended_MSFT_Method">
    <vt:lpwstr>Manual</vt:lpwstr>
  </property>
  <property fmtid="{D5CDD505-2E9C-101B-9397-08002B2CF9AE}" pid="10" name="Sensitivity">
    <vt:lpwstr>No Restrictions</vt:lpwstr>
  </property>
  <property fmtid="{D5CDD505-2E9C-101B-9397-08002B2CF9AE}" pid="11" name="ContentTypeId">
    <vt:lpwstr>0x0101004AD1C541E864994DB5052FC1C07DCAEC</vt:lpwstr>
  </property>
</Properties>
</file>